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rCqAbVyUxcVZ17wfbnoAadrX6xZl2HHzTsjxv/MWLg1ogcKR3T0YpSroIqBg4JrG/KUWtm1r9gjP9hsOwQW2Q==" workbookSaltValue="pYMiEbIlUUyUvoCjMczn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K18" i="7" s="1"/>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H9" i="2"/>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Y25" i="11"/>
  <c r="W26" i="11"/>
  <c r="B29" i="6"/>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E11" i="11"/>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F31" i="7"/>
  <c r="AL14" i="11"/>
  <c r="B14" i="6"/>
  <c r="BL18" i="1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AV23" i="21" l="1"/>
  <c r="H31" i="12"/>
  <c r="D16" i="6"/>
  <c r="I16" i="12"/>
  <c r="AL25" i="11"/>
  <c r="F23" i="2"/>
  <c r="H11" i="2"/>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O18" i="11"/>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AQ23" i="11" s="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D31" i="5" l="1"/>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I32" i="17"/>
  <c r="W32" i="11"/>
  <c r="J32" i="12"/>
  <c r="Y32" i="11"/>
  <c r="AB32" i="16"/>
  <c r="P32" i="21"/>
  <c r="Q32" i="17"/>
  <c r="Q32" i="11"/>
  <c r="AW32" i="16"/>
  <c r="AG32" i="16"/>
  <c r="AO32" i="17"/>
  <c r="AM32" i="21"/>
  <c r="R32" i="17"/>
  <c r="AF32" i="17"/>
  <c r="AH32" i="21"/>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AV32" i="17"/>
  <c r="AB32" i="17"/>
  <c r="AJ32" i="11"/>
  <c r="V32" i="16"/>
  <c r="AX32" i="11"/>
  <c r="BD32" i="21"/>
  <c r="H32" i="12"/>
  <c r="AK32" i="21"/>
  <c r="AG32" i="17"/>
  <c r="F32" i="21"/>
  <c r="BC32" i="16"/>
  <c r="AP32" i="17"/>
  <c r="M32" i="16"/>
  <c r="K32" i="11"/>
  <c r="BK32" i="16"/>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S31" i="17"/>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<sst xmlns="http://schemas.openxmlformats.org/spreadsheetml/2006/main" count="2638" uniqueCount="1168">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</sst>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ORKzP+OKudIp5TcnCaCfOwJjBFO5P14rGCOhxTsrMpk5SyT2bDd7n9LlkaVM/JmpUIB4uRXC7oDsJaYAVqf/gQ==" saltValue="tYy9bxCyuaDcndSV5OUI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8</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9.0956902848794741</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127</v>
      </c>
      <c r="D10" s="239">
        <f>IF(ISNUMBER(Datos!I10),Datos!I10," - ")</f>
        <v>127</v>
      </c>
      <c r="E10" s="240">
        <f>IF(ISNUMBER(Datos!J10),Datos!J10," - ")</f>
        <v>156</v>
      </c>
      <c r="F10" s="240">
        <f>IF(ISNUMBER(Datos!K10),Datos!K10," - ")</f>
        <v>141</v>
      </c>
      <c r="G10" s="1392" t="str">
        <f>IF(Datos!E10&lt;&gt;"",Datos!E10,Datos!D10)</f>
        <v>37</v>
      </c>
      <c r="H10" s="241">
        <f>IF(ISNUMBER(Datos!L10),Datos!L10," - ")</f>
        <v>142</v>
      </c>
      <c r="I10" s="1402" t="str">
        <f>IF(ISNUMBER(Datos!AS10/Datos!BM10),Datos!AS10/Datos!BM10," - ")</f>
        <v xml:space="preserve"> - </v>
      </c>
      <c r="J10" s="1403">
        <f>IF(ISNUMBER(Datos!BY10/Datos!CN10),Datos!BY10/Datos!CN10," - ")</f>
        <v>0</v>
      </c>
      <c r="K10" s="244">
        <f t="shared" ref="K10:K13" si="1">IF(ISNUMBER((E10-F10)/C10),(E10-F10)/C10," - ")</f>
        <v>0.11811023622047244</v>
      </c>
      <c r="L10" s="1404">
        <f>IF(ISNUMBER(NºAsuntos!I10/NºAsuntos!G10),(NºAsuntos!I10/NºAsuntos!G10)*11," - ")</f>
        <v>11.078014184397162</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127</v>
      </c>
      <c r="D14" s="1409">
        <f>SUBTOTAL(9,D9:D13)</f>
        <v>127</v>
      </c>
      <c r="E14" s="1410">
        <f>SUBTOTAL(9,E9:E13)</f>
        <v>156</v>
      </c>
      <c r="F14" s="1411">
        <f>SUBTOTAL(9,F9:F13)</f>
        <v>141</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5</v>
      </c>
      <c r="B16" s="1464" t="str">
        <f>Datos!A16</f>
        <v xml:space="preserve">Jdos. Instrucción                               </v>
      </c>
      <c r="C16" s="239">
        <f t="shared" ref="C16:C22" si="2">IF(ISNUMBER(H16-E16+F16),H16-E16+F16," - ")</f>
        <v>3397</v>
      </c>
      <c r="D16" s="239">
        <f>IF(ISNUMBER(IF(D_I="SI",Datos!I16,Datos!I16+Datos!AC16)),IF(D_I="SI",Datos!I16,Datos!I16+Datos!AC16)," - ")</f>
        <v>3391</v>
      </c>
      <c r="E16" s="240">
        <f>IF(ISNUMBER(IF(D_I="SI",Datos!J16,Datos!J16+Datos!AD16)),IF(D_I="SI",Datos!J16,Datos!J16+Datos!AD16)," - ")</f>
        <v>20381</v>
      </c>
      <c r="F16" s="240">
        <f>IF(ISNUMBER(IF(D_I="SI",Datos!K16,Datos!K16+Datos!AE16)),IF(D_I="SI",Datos!K16,Datos!K16+Datos!AE16)," - ")</f>
        <v>20835</v>
      </c>
      <c r="G16" s="1392" t="str">
        <f>IF(Datos!E16&lt;&gt;"",Datos!E16,Datos!D16)</f>
        <v>03</v>
      </c>
      <c r="H16" s="241">
        <f>IF(ISNUMBER(IF(D_I="SI",Datos!L16,Datos!L16+Datos!AF16)),IF(D_I="SI",Datos!L16,Datos!L16+Datos!AF16)," - ")</f>
        <v>2943</v>
      </c>
      <c r="I16" s="1402" t="str">
        <f>IF(ISNUMBER(Datos!AS16/Datos!BM16),Datos!AS16/Datos!BM16," - ")</f>
        <v xml:space="preserve"> - </v>
      </c>
      <c r="J16" s="1403">
        <f>IF(ISNUMBER(Datos!BY16/Datos!CN16),Datos!BY16/Datos!CN16," - ")</f>
        <v>0</v>
      </c>
      <c r="K16" s="244">
        <f t="shared" ref="K16:K22" si="3">IF(ISNUMBER((E16-F16)/C16),(E16-F16)/C16," - ")</f>
        <v>-0.13364733588460406</v>
      </c>
      <c r="L16" s="1404">
        <f>IF(ISNUMBER(NºAsuntos!I16/NºAsuntos!G16),(NºAsuntos!I16/NºAsuntos!G16)*11," - ")</f>
        <v>1.55377969762419</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548</v>
      </c>
      <c r="D18" s="239">
        <f>IF(ISNUMBER(IF(D_I="SI",Datos!I18,Datos!I18+Datos!AC18)),IF(D_I="SI",Datos!I18,Datos!I18+Datos!AC18)," - ")</f>
        <v>544</v>
      </c>
      <c r="E18" s="240">
        <f>IF(ISNUMBER(IF(D_I="SI",Datos!J18,Datos!J18+Datos!AD18)),IF(D_I="SI",Datos!J18,Datos!J18+Datos!AD18)," - ")</f>
        <v>1716</v>
      </c>
      <c r="F18" s="240">
        <f>IF(ISNUMBER(IF(D_I="SI",Datos!K18,Datos!K18+Datos!AE18)),IF(D_I="SI",Datos!K18,Datos!K18+Datos!AE18)," - ")</f>
        <v>1859</v>
      </c>
      <c r="G18" s="1392" t="str">
        <f>IF(Datos!E18&lt;&gt;"",Datos!E18,Datos!D18)</f>
        <v>37</v>
      </c>
      <c r="H18" s="241">
        <f>IF(ISNUMBER(IF(D_I="SI",Datos!L18,Datos!L18+Datos!AF18)),IF(D_I="SI",Datos!L18,Datos!L18+Datos!AF18)," - ")</f>
        <v>405</v>
      </c>
      <c r="I18" s="1402" t="str">
        <f>IF(ISNUMBER(Datos!AS18/Datos!BM18),Datos!AS18/Datos!BM18," - ")</f>
        <v xml:space="preserve"> - </v>
      </c>
      <c r="J18" s="1403" t="str">
        <f>IF(ISNUMBER((Datos!BY18+Datos!BZ18)/Datos!CN18),(Datos!BY18+Datos!BZ18)/Datos!CN18," - ")</f>
        <v xml:space="preserve"> - </v>
      </c>
      <c r="K18" s="244">
        <f t="shared" si="3"/>
        <v>-0.26094890510948904</v>
      </c>
      <c r="L18" s="1404">
        <f>IF(ISNUMBER(NºAsuntos!I18/NºAsuntos!G18),(NºAsuntos!I18/NºAsuntos!G18)*11," - ")</f>
        <v>2.3964497041420119</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3945</v>
      </c>
      <c r="D23" s="1409">
        <f>SUBTOTAL(9,D16:D22)</f>
        <v>3935</v>
      </c>
      <c r="E23" s="1410">
        <f>SUBTOTAL(9,E16:E22)</f>
        <v>22097</v>
      </c>
      <c r="F23" s="1410">
        <f>SUBTOTAL(9,F16:F22)</f>
        <v>22694</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4072</v>
      </c>
      <c r="D31" s="1437">
        <f>SUBTOTAL(9,D9:D30)</f>
        <v>4062</v>
      </c>
      <c r="E31" s="1438">
        <f>SUBTOTAL(9,E9:E30)</f>
        <v>22253</v>
      </c>
      <c r="F31" s="1438">
        <f>SUBTOTAL(9,F9:F30)</f>
        <v>22835</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TS8d6Am17qlmH+YzRpvxy0J+xcMKVpMHiidryGcQom6WHzp6XtctZ4BYfjTwZB9lfZXUqrNL5sDustogNFQEUA==" saltValue="g2q8hceV6qqDEAl+sh+At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jq6vWQxt85U2ZYoJAsbY4MmT5ezHmqjXapCT/qzNlIJKSJJsz4nr8Ug8wkV47buSz/rzpQ9qCzVzc1/ME3PZJw==" saltValue="fjb9B8E8OYtRgGaVdIvF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v>10371</v>
      </c>
      <c r="J9" s="194">
        <v>13213</v>
      </c>
      <c r="K9" s="194">
        <v>12556</v>
      </c>
      <c r="L9" s="194">
        <v>11069</v>
      </c>
      <c r="M9" s="194">
        <v>3268</v>
      </c>
      <c r="N9" s="194">
        <v>6187</v>
      </c>
      <c r="O9" s="194">
        <v>5291</v>
      </c>
      <c r="P9" s="194">
        <v>3009</v>
      </c>
      <c r="Q9" s="194">
        <v>3935</v>
      </c>
      <c r="R9" s="194">
        <v>13314</v>
      </c>
      <c r="S9" s="194">
        <v>10094</v>
      </c>
      <c r="T9" s="194">
        <v>9694</v>
      </c>
      <c r="U9" s="194">
        <v>9460</v>
      </c>
      <c r="V9" s="194">
        <v>10371</v>
      </c>
      <c r="W9" s="194">
        <v>2480</v>
      </c>
      <c r="X9" s="201">
        <v>4422</v>
      </c>
      <c r="Y9" s="204">
        <v>257</v>
      </c>
      <c r="Z9" s="194">
        <v>1127</v>
      </c>
      <c r="AA9" s="194">
        <v>1134</v>
      </c>
      <c r="AB9" s="194">
        <v>251</v>
      </c>
      <c r="AC9" s="194">
        <v>0</v>
      </c>
      <c r="AD9" s="194">
        <v>0</v>
      </c>
      <c r="AE9" s="194">
        <v>0</v>
      </c>
      <c r="AF9" s="201">
        <v>0</v>
      </c>
      <c r="AG9" s="204">
        <v>312</v>
      </c>
      <c r="AH9" s="194">
        <v>702</v>
      </c>
      <c r="AI9" s="194">
        <v>756</v>
      </c>
      <c r="AJ9" s="205">
        <v>257</v>
      </c>
      <c r="AK9" s="193">
        <v>0</v>
      </c>
      <c r="AL9" s="194">
        <v>0</v>
      </c>
      <c r="AM9" s="194">
        <v>0</v>
      </c>
      <c r="AN9" s="201">
        <v>0</v>
      </c>
      <c r="AO9" s="282">
        <v>8</v>
      </c>
      <c r="AP9" s="167">
        <v>8</v>
      </c>
      <c r="AQ9" s="167">
        <v>8</v>
      </c>
      <c r="AR9" s="206">
        <v>8</v>
      </c>
      <c r="AS9" s="380" t="s">
        <v>1084</v>
      </c>
      <c r="AT9" s="208"/>
      <c r="AU9" s="207"/>
      <c r="AV9" s="208"/>
      <c r="AW9" s="207"/>
      <c r="AX9" s="208"/>
      <c r="AY9" s="133">
        <f>IF(ISNUMBER(IF(J_V="SI",S9,S9+AG9)),IF(J_V="SI",S9,S9+AG9)," - ")</f>
        <v>10406</v>
      </c>
      <c r="AZ9" s="133">
        <f>IF(ISNUMBER(IF(J_V="SI",T9,T9+AH9)),IF(J_V="SI",T9,T9+AH9)," - ")</f>
        <v>10396</v>
      </c>
      <c r="BA9" s="134">
        <f>IF(ISNUMBER(IF(J_V="SI",U9,U9+AI9)),IF(J_V="SI",U9,U9+AI9)," - ")</f>
        <v>10216</v>
      </c>
      <c r="BB9" s="134">
        <f>IF(ISNUMBER(IF(J_V="SI",V9,V9+AJ9)),IF(J_V="SI",V9,V9+AJ9)," - ")</f>
        <v>10628</v>
      </c>
      <c r="BC9" s="135">
        <f>IF(ISNUMBER(X9),X9," - ")</f>
        <v>4422</v>
      </c>
      <c r="BD9" s="136">
        <f>IF(ISNUMBER(BA9/AZ9),BA9/AZ9," - ")</f>
        <v>0.98268564832627936</v>
      </c>
      <c r="BE9" s="137">
        <f>IF(ISNUMBER(BB9/BA9),BB9/BA9, " - ")</f>
        <v>1.0403288958496477</v>
      </c>
      <c r="BF9" s="137">
        <f>IF(ISNUMBER(BC9/BA9),BC9/BA9, " - ")</f>
        <v>0.43285043069694595</v>
      </c>
      <c r="BG9" s="209">
        <f>IF(ISNUMBER((AY9+AZ9)/BA9),(AY9+AZ9)/BA9," - ")</f>
        <v>2.0362176977290525</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127</v>
      </c>
      <c r="J10" s="194">
        <v>156</v>
      </c>
      <c r="K10" s="194">
        <v>141</v>
      </c>
      <c r="L10" s="194">
        <v>142</v>
      </c>
      <c r="M10" s="194">
        <v>53</v>
      </c>
      <c r="N10" s="194">
        <v>1</v>
      </c>
      <c r="O10" s="194">
        <v>2</v>
      </c>
      <c r="P10" s="194">
        <v>34</v>
      </c>
      <c r="Q10" s="194">
        <v>18</v>
      </c>
      <c r="R10" s="194">
        <v>115</v>
      </c>
      <c r="S10" s="194">
        <v>126</v>
      </c>
      <c r="T10" s="194">
        <v>132</v>
      </c>
      <c r="U10" s="194">
        <v>131</v>
      </c>
      <c r="V10" s="194">
        <v>127</v>
      </c>
      <c r="W10" s="194">
        <v>36</v>
      </c>
      <c r="X10" s="201">
        <v>56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1078</v>
      </c>
      <c r="AT10" s="205"/>
      <c r="AU10" s="213"/>
      <c r="AV10" s="205"/>
      <c r="AW10" s="213"/>
      <c r="AX10" s="205"/>
      <c r="AY10" s="138">
        <f t="shared" ref="AY10:BC10" si="0">IF(ISNUMBER(S10),S10," - ")</f>
        <v>126</v>
      </c>
      <c r="AZ10" s="139">
        <f t="shared" si="0"/>
        <v>132</v>
      </c>
      <c r="BA10" s="139">
        <f t="shared" si="0"/>
        <v>131</v>
      </c>
      <c r="BB10" s="139">
        <f t="shared" si="0"/>
        <v>127</v>
      </c>
      <c r="BC10" s="135">
        <f t="shared" si="0"/>
        <v>36</v>
      </c>
      <c r="BD10" s="136">
        <f>IF(ISNUMBER(BA10/AZ10),BA10/AZ10," - ")</f>
        <v>0.99242424242424243</v>
      </c>
      <c r="BE10" s="137">
        <f>IF(ISNUMBER(BB10/BA10),BB10/BA10, " - ")</f>
        <v>0.96946564885496178</v>
      </c>
      <c r="BF10" s="137">
        <f>IF(ISNUMBER(BC10/BA10),BC10/BA10, " - ")</f>
        <v>0.27480916030534353</v>
      </c>
      <c r="BG10" s="209">
        <f>IF(ISNUMBER((AY10+AZ10)/BA10),(AY10+AZ10)/BA10," - ")</f>
        <v>1.9694656488549618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t="s">
        <v>1105</v>
      </c>
      <c r="J12" s="196" t="s">
        <v>1086</v>
      </c>
      <c r="K12" s="196" t="s">
        <v>1106</v>
      </c>
      <c r="L12" s="196" t="s">
        <v>1125</v>
      </c>
      <c r="M12" s="196" t="s">
        <v>656</v>
      </c>
      <c r="N12" s="196" t="s">
        <v>672</v>
      </c>
      <c r="O12" s="194" t="s">
        <v>289</v>
      </c>
      <c r="P12" s="196" t="s">
        <v>57</v>
      </c>
      <c r="Q12" s="196" t="s">
        <v>58</v>
      </c>
      <c r="R12" s="196" t="s">
        <v>125</v>
      </c>
      <c r="S12" s="196"/>
      <c r="T12" s="196"/>
      <c r="U12" s="196"/>
      <c r="V12" s="196"/>
      <c r="W12" s="196"/>
      <c r="X12" s="202"/>
      <c r="Y12" s="204" t="s">
        <v>182</v>
      </c>
      <c r="Z12" s="194" t="s">
        <v>183</v>
      </c>
      <c r="AA12" s="194" t="s">
        <v>184</v>
      </c>
      <c r="AB12" s="194" t="s">
        <v>185</v>
      </c>
      <c r="AC12" s="196"/>
      <c r="AD12" s="196"/>
      <c r="AE12" s="196"/>
      <c r="AF12" s="202"/>
      <c r="AG12" s="215"/>
      <c r="AH12" s="196"/>
      <c r="AI12" s="196"/>
      <c r="AJ12" s="216"/>
      <c r="AK12" s="195"/>
      <c r="AL12" s="196"/>
      <c r="AM12" s="196"/>
      <c r="AN12" s="202"/>
      <c r="AO12" s="283">
        <v>0</v>
      </c>
      <c r="AP12" s="168">
        <v>0</v>
      </c>
      <c r="AQ12" s="168">
        <v>0</v>
      </c>
      <c r="AR12" s="167">
        <v>0</v>
      </c>
      <c r="AS12" s="382" t="s">
        <v>1089</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10498</v>
      </c>
      <c r="J14" s="197">
        <f t="shared" si="7"/>
        <v>13369</v>
      </c>
      <c r="K14" s="197">
        <f t="shared" si="7"/>
        <v>12697</v>
      </c>
      <c r="L14" s="197">
        <f t="shared" si="7"/>
        <v>11211</v>
      </c>
      <c r="M14" s="197">
        <f t="shared" si="7"/>
        <v>3321</v>
      </c>
      <c r="N14" s="197">
        <f t="shared" si="7"/>
        <v>6188</v>
      </c>
      <c r="O14" s="197">
        <f t="shared" si="7"/>
        <v>5293</v>
      </c>
      <c r="P14" s="197">
        <f t="shared" si="7"/>
        <v>3043</v>
      </c>
      <c r="Q14" s="197">
        <f t="shared" si="7"/>
        <v>3953</v>
      </c>
      <c r="R14" s="197">
        <f t="shared" si="7"/>
        <v>13429</v>
      </c>
      <c r="S14" s="197">
        <f t="shared" si="7"/>
        <v>10220</v>
      </c>
      <c r="T14" s="197">
        <f t="shared" si="7"/>
        <v>9826</v>
      </c>
      <c r="U14" s="197">
        <f t="shared" si="7"/>
        <v>9591</v>
      </c>
      <c r="V14" s="197">
        <f t="shared" si="7"/>
        <v>10498</v>
      </c>
      <c r="W14" s="197">
        <f t="shared" si="7"/>
        <v>2516</v>
      </c>
      <c r="X14" s="197">
        <f t="shared" si="7"/>
        <v>4478</v>
      </c>
      <c r="Y14" s="197">
        <f t="shared" si="7"/>
        <v>257</v>
      </c>
      <c r="Z14" s="197">
        <f t="shared" si="7"/>
        <v>1127</v>
      </c>
      <c r="AA14" s="197">
        <f t="shared" si="7"/>
        <v>1134</v>
      </c>
      <c r="AB14" s="197">
        <f t="shared" si="7"/>
        <v>251</v>
      </c>
      <c r="AC14" s="197">
        <f t="shared" si="7"/>
        <v>0</v>
      </c>
      <c r="AD14" s="197">
        <f t="shared" si="7"/>
        <v>0</v>
      </c>
      <c r="AE14" s="197">
        <f t="shared" si="7"/>
        <v>0</v>
      </c>
      <c r="AF14" s="197">
        <f>SUBTOTAL(9,AF9:AF13)</f>
        <v>0</v>
      </c>
      <c r="AG14" s="197">
        <f t="shared" ref="AG14:AT14" si="8">SUBTOTAL(9,AG8:AG13)</f>
        <v>312</v>
      </c>
      <c r="AH14" s="197">
        <f t="shared" si="8"/>
        <v>702</v>
      </c>
      <c r="AI14" s="197">
        <f t="shared" si="8"/>
        <v>756</v>
      </c>
      <c r="AJ14" s="197">
        <f t="shared" si="8"/>
        <v>257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10532</v>
      </c>
      <c r="AZ14" s="197">
        <f>SUBTOTAL(9,AZ8:AZ13)</f>
        <v>10528</v>
      </c>
      <c r="BA14" s="197">
        <f>SUBTOTAL(9,BA8:BA13)</f>
        <v>10347</v>
      </c>
      <c r="BB14" s="197">
        <f>SUBTOTAL(9,BB8:BB13)</f>
        <v>10755</v>
      </c>
      <c r="BC14" s="197">
        <f>SUBTOTAL(9,BC8:BC13)</f>
        <v>4458</v>
      </c>
      <c r="BD14" s="219">
        <f>IF(ISNUMBER(BA14/AZ14),BA14/AZ14," - ")</f>
        <v>0.98280775075987847</v>
      </c>
      <c r="BE14" s="220">
        <f>IF(ISNUMBER(BB14/BA14),BB14/BA14, " - ")</f>
        <v>1.0394317193389389</v>
      </c>
      <c r="BF14" s="220">
        <f>IF(ISNUMBER(BC14/BA14),BC14/BA14, " - ")</f>
        <v>0.43084952160046391</v>
      </c>
      <c r="BG14" s="221">
        <f>IF(ISNUMBER((AY14+AZ14)/BA14),(AY14+AZ14)/BA14," - ")</f>
        <v>2.0353725717599302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3391</v>
      </c>
      <c r="J16" s="196">
        <v>20381</v>
      </c>
      <c r="K16" s="196">
        <v>20835</v>
      </c>
      <c r="L16" s="196">
        <v>2943</v>
      </c>
      <c r="M16" s="196">
        <v>1416</v>
      </c>
      <c r="N16" s="196">
        <v>14969</v>
      </c>
      <c r="O16" s="194">
        <v>295</v>
      </c>
      <c r="P16" s="196">
        <v>539</v>
      </c>
      <c r="Q16" s="196">
        <v>639</v>
      </c>
      <c r="R16" s="196">
        <v>368</v>
      </c>
      <c r="S16" s="196">
        <v>2853</v>
      </c>
      <c r="T16" s="196">
        <v>18344</v>
      </c>
      <c r="U16" s="196">
        <v>17766</v>
      </c>
      <c r="V16" s="196">
        <v>3391</v>
      </c>
      <c r="W16" s="196">
        <v>1180</v>
      </c>
      <c r="X16" s="202">
        <v>13232</v>
      </c>
      <c r="Y16" s="215">
        <v>0</v>
      </c>
      <c r="Z16" s="196">
        <v>0</v>
      </c>
      <c r="AA16" s="196">
        <v>0</v>
      </c>
      <c r="AB16" s="196">
        <v>0</v>
      </c>
      <c r="AC16" s="196">
        <v>21</v>
      </c>
      <c r="AD16" s="196">
        <v>537</v>
      </c>
      <c r="AE16" s="196">
        <v>553</v>
      </c>
      <c r="AF16" s="202">
        <v>5</v>
      </c>
      <c r="AG16" s="215">
        <v>0</v>
      </c>
      <c r="AH16" s="196">
        <v>0</v>
      </c>
      <c r="AI16" s="196">
        <v>0</v>
      </c>
      <c r="AJ16" s="216">
        <v>0</v>
      </c>
      <c r="AK16" s="195">
        <v>7</v>
      </c>
      <c r="AL16" s="196">
        <v>613</v>
      </c>
      <c r="AM16" s="196">
        <v>599</v>
      </c>
      <c r="AN16" s="202">
        <v>21</v>
      </c>
      <c r="AO16" s="283">
        <v>5</v>
      </c>
      <c r="AP16" s="168">
        <v>5</v>
      </c>
      <c r="AQ16" s="168">
        <v>5</v>
      </c>
      <c r="AR16" s="168">
        <v>5</v>
      </c>
      <c r="AS16" s="382" t="s">
        <v>707</v>
      </c>
      <c r="AT16" s="216" t="s">
        <v>428</v>
      </c>
      <c r="AU16" s="215"/>
      <c r="AV16" s="216"/>
      <c r="AW16" s="215"/>
      <c r="AX16" s="216"/>
      <c r="AY16" s="138">
        <f t="shared" ref="AY16:BB17" si="10">IF(ISNUMBER(IF(D_I="SI",S16,S16+AK16)),IF(D_I="SI",S16,S16+AK16)," - ")</f>
        <v>2853</v>
      </c>
      <c r="AZ16" s="139">
        <f t="shared" si="10"/>
        <v>18344</v>
      </c>
      <c r="BA16" s="139">
        <f t="shared" si="10"/>
        <v>17766</v>
      </c>
      <c r="BB16" s="139">
        <f t="shared" si="10"/>
        <v>3391</v>
      </c>
      <c r="BC16" s="135">
        <f>IF(ISNUMBER(W16),W16," - ")</f>
        <v>1180</v>
      </c>
      <c r="BD16" s="136">
        <f>IF(ISNUMBER(BA16/AZ16),BA16/AZ16," - ")</f>
        <v>0.96849105974705629</v>
      </c>
      <c r="BE16" s="137">
        <f>IF(ISNUMBER(BB16/BA16),BB16/BA16, " - ")</f>
        <v>0.19087020150849937</v>
      </c>
      <c r="BF16" s="137">
        <f>IF(ISNUMBER(BC16/BA16),BC16/BA16, " - ")</f>
        <v>6.6419002589215362E-2</v>
      </c>
      <c r="BG16" s="209">
        <f t="shared" ref="BG16:BG22" si="11">IF(ISNUMBER((AY16+AZ16)/BA16),(AY16+AZ16)/BA16," - ")</f>
        <v>1.193121693121693</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t="s">
        <v>654</v>
      </c>
      <c r="J17" s="196" t="s">
        <v>650</v>
      </c>
      <c r="K17" s="196" t="s">
        <v>651</v>
      </c>
      <c r="L17" s="196" t="s">
        <v>652</v>
      </c>
      <c r="M17" s="196" t="s">
        <v>658</v>
      </c>
      <c r="N17" s="196" t="s">
        <v>203</v>
      </c>
      <c r="O17" s="194" t="s">
        <v>290</v>
      </c>
      <c r="P17" s="196" t="s">
        <v>636</v>
      </c>
      <c r="Q17" s="196" t="s">
        <v>637</v>
      </c>
      <c r="R17" s="196" t="s">
        <v>638</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2" t="s">
        <v>653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544</v>
      </c>
      <c r="J18" s="196">
        <v>1716</v>
      </c>
      <c r="K18" s="196">
        <v>1859</v>
      </c>
      <c r="L18" s="196">
        <v>405</v>
      </c>
      <c r="M18" s="196">
        <v>25</v>
      </c>
      <c r="N18" s="196">
        <v>1083</v>
      </c>
      <c r="O18" s="196">
        <v>1</v>
      </c>
      <c r="P18" s="196">
        <v>6</v>
      </c>
      <c r="Q18" s="196">
        <v>10</v>
      </c>
      <c r="R18" s="196">
        <v>5</v>
      </c>
      <c r="S18" s="196">
        <v>323</v>
      </c>
      <c r="T18" s="196">
        <v>1652</v>
      </c>
      <c r="U18" s="196">
        <v>1434</v>
      </c>
      <c r="V18" s="196">
        <v>544</v>
      </c>
      <c r="W18" s="196">
        <v>25</v>
      </c>
      <c r="X18" s="202">
        <v>706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1077</v>
      </c>
      <c r="AT18" s="223"/>
      <c r="AU18" s="213"/>
      <c r="AV18" s="223"/>
      <c r="AW18" s="213"/>
      <c r="AX18" s="223"/>
      <c r="AY18" s="138">
        <f t="shared" ref="AY18:BB19" si="15">IF(ISNUMBER(S18),S18," - ")</f>
        <v>323</v>
      </c>
      <c r="AZ18" s="139">
        <f t="shared" si="15"/>
        <v>1652</v>
      </c>
      <c r="BA18" s="139">
        <f t="shared" si="15"/>
        <v>1434</v>
      </c>
      <c r="BB18" s="139">
        <f t="shared" si="15"/>
        <v>544</v>
      </c>
      <c r="BC18" s="135">
        <f>IF(ISNUMBER(W18),W18," - ")</f>
        <v>25</v>
      </c>
      <c r="BD18" s="136">
        <f>IF(ISNUMBER(BA18/AZ18),BA18/AZ18," - ")</f>
        <v>0.86803874092009681</v>
      </c>
      <c r="BE18" s="137">
        <f>IF(ISNUMBER(BB18/BA18),BB18/BA18, " - ")</f>
        <v>0.37935843793584378</v>
      </c>
      <c r="BF18" s="137">
        <f>IF(ISNUMBER(BC18/BA18),BC18/BA18, " - ")</f>
        <v>1.7433751743375175E-2</v>
      </c>
      <c r="BG18" s="209">
        <f>IF(ISNUMBER((AY18+AZ18)/BA18),(AY18+AZ18)/BA18," - ")</f>
        <v>1.3772663877266387</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3935</v>
      </c>
      <c r="J23" s="197">
        <f t="shared" si="21"/>
        <v>22097</v>
      </c>
      <c r="K23" s="197">
        <f t="shared" si="21"/>
        <v>22694</v>
      </c>
      <c r="L23" s="197">
        <f t="shared" si="21"/>
        <v>3348</v>
      </c>
      <c r="M23" s="197">
        <f t="shared" si="21"/>
        <v>1441</v>
      </c>
      <c r="N23" s="197">
        <f t="shared" si="21"/>
        <v>16052</v>
      </c>
      <c r="O23" s="197">
        <f t="shared" si="21"/>
        <v>296</v>
      </c>
      <c r="P23" s="197">
        <f t="shared" si="21"/>
        <v>545</v>
      </c>
      <c r="Q23" s="197">
        <f t="shared" si="21"/>
        <v>649</v>
      </c>
      <c r="R23" s="197">
        <f t="shared" si="21"/>
        <v>373</v>
      </c>
      <c r="S23" s="197">
        <f t="shared" si="21"/>
        <v>3176</v>
      </c>
      <c r="T23" s="197">
        <f t="shared" si="21"/>
        <v>19996</v>
      </c>
      <c r="U23" s="197">
        <f t="shared" si="21"/>
        <v>19200</v>
      </c>
      <c r="V23" s="197">
        <f t="shared" si="21"/>
        <v>3935</v>
      </c>
      <c r="W23" s="197">
        <f t="shared" si="21"/>
        <v>1205</v>
      </c>
      <c r="X23" s="197">
        <f t="shared" si="21"/>
        <v>13938</v>
      </c>
      <c r="Y23" s="197">
        <f t="shared" si="21"/>
        <v>0</v>
      </c>
      <c r="Z23" s="197">
        <f t="shared" si="21"/>
        <v>0</v>
      </c>
      <c r="AA23" s="197">
        <f t="shared" si="21"/>
        <v>0</v>
      </c>
      <c r="AB23" s="197">
        <f t="shared" si="21"/>
        <v>0</v>
      </c>
      <c r="AC23" s="197">
        <f t="shared" si="21"/>
        <v>21</v>
      </c>
      <c r="AD23" s="197">
        <f t="shared" si="21"/>
        <v>537</v>
      </c>
      <c r="AE23" s="197">
        <f t="shared" si="21"/>
        <v>553</v>
      </c>
      <c r="AF23" s="197">
        <f t="shared" si="21"/>
        <v>5</v>
      </c>
      <c r="AG23" s="197">
        <f t="shared" si="21"/>
        <v>0</v>
      </c>
      <c r="AH23" s="197">
        <f t="shared" si="21"/>
        <v>0</v>
      </c>
      <c r="AI23" s="197">
        <f t="shared" si="21"/>
        <v>0</v>
      </c>
      <c r="AJ23" s="197">
        <f t="shared" si="21"/>
        <v>0</v>
      </c>
      <c r="AK23" s="197">
        <f t="shared" si="21"/>
        <v>7</v>
      </c>
      <c r="AL23" s="197">
        <f t="shared" si="21"/>
        <v>613</v>
      </c>
      <c r="AM23" s="197">
        <f t="shared" si="21"/>
        <v>599</v>
      </c>
      <c r="AN23" s="197">
        <f t="shared" si="21"/>
        <v>21</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3176</v>
      </c>
      <c r="AZ23" s="197">
        <f>SUBTOTAL(9,AZ15:AZ22)</f>
        <v>19996</v>
      </c>
      <c r="BA23" s="197">
        <f>SUBTOTAL(9,BA15:BA22)</f>
        <v>19200</v>
      </c>
      <c r="BB23" s="197">
        <f>SUBTOTAL(9,BB15:BB22)</f>
        <v>3935</v>
      </c>
      <c r="BC23" s="197">
        <f>SUBTOTAL(9,BC15:BC22)</f>
        <v>1205</v>
      </c>
      <c r="BD23" s="219">
        <f>IF(ISNUMBER(BA23/AZ23),BA23/AZ23," - ")</f>
        <v>0.96019203840768153</v>
      </c>
      <c r="BE23" s="220">
        <f>IF(ISNUMBER(BB23/BA23),BB23/BA23, " - ")</f>
        <v>0.20494791666666667</v>
      </c>
      <c r="BF23" s="220">
        <f>IF(ISNUMBER(BC23/BA23),BC23/BA23, " - ")</f>
        <v>6.2760416666666666E-2</v>
      </c>
      <c r="BG23" s="221">
        <f>IF(ISNUMBER((AY23+AZ23)/BA23),(AY23+AZ23)/BA23," - ")</f>
        <v>1.2068749999999999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14433</v>
      </c>
      <c r="J31" s="144">
        <f t="shared" si="36"/>
        <v>35466</v>
      </c>
      <c r="K31" s="144">
        <f t="shared" si="36"/>
        <v>35391</v>
      </c>
      <c r="L31" s="144">
        <f t="shared" si="36"/>
        <v>14559</v>
      </c>
      <c r="M31" s="144">
        <f t="shared" si="36"/>
        <v>4762</v>
      </c>
      <c r="N31" s="144">
        <f t="shared" si="36"/>
        <v>22240</v>
      </c>
      <c r="O31" s="144">
        <f t="shared" si="36"/>
        <v>5589</v>
      </c>
      <c r="P31" s="144">
        <f t="shared" si="36"/>
        <v>3588</v>
      </c>
      <c r="Q31" s="144">
        <f t="shared" si="36"/>
        <v>4602</v>
      </c>
      <c r="R31" s="144">
        <f t="shared" si="36"/>
        <v>13802</v>
      </c>
      <c r="S31" s="144">
        <f t="shared" si="36"/>
        <v>13396</v>
      </c>
      <c r="T31" s="144">
        <f t="shared" si="36"/>
        <v>29822</v>
      </c>
      <c r="U31" s="144">
        <f t="shared" si="36"/>
        <v>28791</v>
      </c>
      <c r="V31" s="144">
        <f t="shared" si="36"/>
        <v>14433</v>
      </c>
      <c r="W31" s="144">
        <f t="shared" si="36"/>
        <v>3721</v>
      </c>
      <c r="X31" s="144">
        <f t="shared" si="36"/>
        <v>18416</v>
      </c>
      <c r="Y31" s="144">
        <f t="shared" si="36"/>
        <v>257</v>
      </c>
      <c r="Z31" s="144">
        <f t="shared" si="36"/>
        <v>1127</v>
      </c>
      <c r="AA31" s="144">
        <f t="shared" si="36"/>
        <v>1134</v>
      </c>
      <c r="AB31" s="144">
        <f t="shared" si="36"/>
        <v>251</v>
      </c>
      <c r="AC31" s="144">
        <f t="shared" si="36"/>
        <v>21</v>
      </c>
      <c r="AD31" s="144">
        <f t="shared" si="36"/>
        <v>537</v>
      </c>
      <c r="AE31" s="144">
        <f t="shared" si="36"/>
        <v>553</v>
      </c>
      <c r="AF31" s="144">
        <f t="shared" si="36"/>
        <v>5</v>
      </c>
      <c r="AG31" s="144">
        <f t="shared" si="36"/>
        <v>312</v>
      </c>
      <c r="AH31" s="144">
        <f t="shared" si="36"/>
        <v>702</v>
      </c>
      <c r="AI31" s="144">
        <f t="shared" si="36"/>
        <v>756</v>
      </c>
      <c r="AJ31" s="144">
        <f t="shared" si="36"/>
        <v>257</v>
      </c>
      <c r="AK31" s="144">
        <f t="shared" si="36"/>
        <v>7</v>
      </c>
      <c r="AL31" s="144">
        <f t="shared" si="36"/>
        <v>613</v>
      </c>
      <c r="AM31" s="144">
        <f t="shared" si="36"/>
        <v>599</v>
      </c>
      <c r="AN31" s="224">
        <f t="shared" si="36"/>
        <v>21</v>
      </c>
      <c r="AO31" s="225">
        <v>14</v>
      </c>
      <c r="AP31" s="225">
        <v>14</v>
      </c>
      <c r="AQ31" s="225">
        <v>14</v>
      </c>
      <c r="AR31" s="225">
        <v>14</v>
      </c>
      <c r="AS31" s="166">
        <f t="shared" si="36"/>
        <v>0</v>
      </c>
      <c r="AT31" s="166">
        <f t="shared" si="36"/>
        <v>0</v>
      </c>
      <c r="AU31" s="225"/>
      <c r="AV31" s="226"/>
      <c r="AW31" s="225"/>
      <c r="AX31" s="226"/>
      <c r="AY31" s="143">
        <f>SUBTOTAL(9,AY9:AY30)</f>
        <v>13708</v>
      </c>
      <c r="AZ31" s="144">
        <f>SUBTOTAL(9,AZ9:AZ30)</f>
        <v>30524</v>
      </c>
      <c r="BA31" s="144">
        <f>SUBTOTAL(9,BA9:BA30)</f>
        <v>29547</v>
      </c>
      <c r="BB31" s="144">
        <f>SUBTOTAL(9,BB9:BB30)</f>
        <v>14690</v>
      </c>
      <c r="BC31" s="145">
        <f>SUBTOTAL(9,BC9:BC30)</f>
        <v>5663</v>
      </c>
      <c r="BD31" s="227">
        <f>IF(ISNUMBER(BA31/AZ31),BA31/AZ31," - ")</f>
        <v>0.96799239942340454</v>
      </c>
      <c r="BE31" s="224">
        <f>IF(ISNUMBER(BB31/BA31),BB31/BA31, " - ")</f>
        <v>0.49717399397569972</v>
      </c>
      <c r="BF31" s="224">
        <f>IF(ISNUMBER(BC31/BA31),BC31/BA31, " - ")</f>
        <v>0.19166074389954987</v>
      </c>
      <c r="BG31" s="145">
        <f>IF(ISNUMBER((AY31+AZ31)/BA31),(AY31+AZ31)/BA31," - ")</f>
        <v>1.497004772058077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58BR6yET6UYyNugDGisYirEt+eGte/emExLwbNEhs4LQole41y6/t9h8DJv8M/d4veRQ3hDTqGktT9v9SbDyA==" saltValue="29KZrg6s6deplHXEpjasQ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fA6Lk7WI5uzFign0/7NwhAiOEGNlbRDoAOng3UrvMmqGEf1ibeB3jqAx/Adq9kV7DpeFkIn2+h/UVR0hLkI1Q==" saltValue="thQkeLH8jJ1Gs0V4s78IM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L'HOSPITALET DE LLOBREGAT</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8</v>
      </c>
      <c r="B9" s="749" t="s">
        <v>324</v>
      </c>
      <c r="C9" s="770" t="str">
        <f>Datos!A9</f>
        <v xml:space="preserve">Jdos. 1ª Instancia   </v>
      </c>
      <c r="D9" s="597"/>
      <c r="E9" s="553">
        <f>IF(ISNUMBER(Datos!AQ9),Datos!AQ9," - ")</f>
        <v>8</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1127</v>
      </c>
      <c r="O9" s="553"/>
      <c r="P9" s="553"/>
      <c r="Q9" s="551">
        <f>IF(ISNUMBER(Datos!P9),Datos!P9,0)</f>
        <v>3009</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3935</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251</v>
      </c>
      <c r="AI9" s="553" t="str">
        <f>IF(ISNUMBER(Datos!CD9),Datos!CD9,"-")</f>
        <v>-</v>
      </c>
      <c r="AJ9" s="553" t="str">
        <f>IF(ISNUMBER(Datos!EN9),Datos!EN9," - ")</f>
        <v xml:space="preserve"> - </v>
      </c>
      <c r="AK9" s="553"/>
      <c r="AL9" s="554"/>
      <c r="AM9" s="771">
        <f>IF(ISNUMBER(Datos!R9),Datos!R9," - ")</f>
        <v>13314</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3268</v>
      </c>
      <c r="BD9" s="697">
        <f>IF(ISNUMBER(Datos!N9),Datos!N9," - ")</f>
        <v>6187</v>
      </c>
      <c r="BE9" s="697" t="str">
        <f>IF(ISNUMBER(Datos!BW9),Datos!BW9," - ")</f>
        <v xml:space="preserve"> - </v>
      </c>
      <c r="BF9" s="767" t="str">
        <f>IF(ISNUMBER(Datos!BX9),Datos!BX9," - ")</f>
        <v xml:space="preserve"> - </v>
      </c>
      <c r="BG9" s="768">
        <f>IF(ISNUMBER(IF(J_V="SI",Datos!K9/Datos!J9,(Datos!K9+Datos!AA9)/(Datos!J9+Datos!Z9))),IF(J_V="SI",Datos!K9/Datos!J9,(Datos!K9+Datos!AA9)/(Datos!J9+Datos!Z9))," - ")</f>
        <v>0.95467224546722451</v>
      </c>
      <c r="BH9" s="769">
        <f>IF(ISNUMBER(((IF(J_V="SI",Datos!L9/Datos!K9,(Datos!L9+Datos!AB9)/(Datos!K9+Datos!AA9)))*11)/factor_trimestre),((IF(J_V="SI",Datos!L9/Datos!K9,(Datos!L9+Datos!AB9)/(Datos!K9+Datos!AA9)))*11)/factor_trimestre," - ")</f>
        <v>9.0956902848794741</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-6.5028089887640445E-2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1</v>
      </c>
      <c r="F10" s="556">
        <f>IF(ISNUMBER(Datos!L10+Datos!K10-Datos!J10),Datos!L10+Datos!K10-Datos!J10," - ")</f>
        <v>127</v>
      </c>
      <c r="G10" s="547">
        <f>IF(ISNUMBER(Datos!I10),Datos!I10," - ")</f>
        <v>127</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34</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141</v>
      </c>
      <c r="AC10" s="551">
        <f>IF(ISNUMBER(Datos!Q10),Datos!Q10," - ")</f>
        <v>18</v>
      </c>
      <c r="AD10" s="553"/>
      <c r="AE10" s="567"/>
      <c r="AF10" s="555">
        <f>IF(ISNUMBER(Datos!L10),Datos!L10,"-")</f>
        <v>142</v>
      </c>
      <c r="AG10" s="553"/>
      <c r="AH10" s="553"/>
      <c r="AI10" s="553"/>
      <c r="AJ10" s="553"/>
      <c r="AK10" s="553"/>
      <c r="AL10" s="554"/>
      <c r="AM10" s="771">
        <f>IF(ISNUMBER(Datos!R10),Datos!R10," - ")</f>
        <v>115</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53</v>
      </c>
      <c r="BD10" s="697">
        <f>IF(ISNUMBER(Datos!N10),Datos!N10," - ")</f>
        <v>1</v>
      </c>
      <c r="BE10" s="697" t="str">
        <f>IF(ISNUMBER(Datos!BW10),Datos!BW10," - ")</f>
        <v xml:space="preserve"> - </v>
      </c>
      <c r="BF10" s="767" t="str">
        <f>IF(ISNUMBER(Datos!BX10),Datos!BX10," - ")</f>
        <v xml:space="preserve"> - </v>
      </c>
      <c r="BG10" s="768">
        <f>IF(ISNUMBER(Datos!K10/Datos!J10),Datos!K10/Datos!J10," - ")</f>
        <v>0.90384615384615385</v>
      </c>
      <c r="BH10" s="769">
        <f>IF(ISNUMBER(((Datos!L10/Datos!K10)*11)/factor_trimestre),((Datos!L10/Datos!K10)*11)/factor_trimestre," - ")</f>
        <v>11.078014184397162</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0.16161616161616163</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t="str">
        <f>IF(ISNUMBER(Datos!Z12),Datos!Z12," - ")</f>
        <v xml:space="preserve"> - </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t="str">
        <f>IF(ISNUMBER(Datos!Q12),Datos!Q12," - ")</f>
        <v xml:space="preserve"> - </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t="str">
        <f>IF(ISNUMBER(Datos!AB12),Datos!AB12,"-")</f>
        <v>-</v>
      </c>
      <c r="AI12" s="553" t="str">
        <f>IF(ISNUMBER(Datos!CD12),Datos!CD12,"-")</f>
        <v>-</v>
      </c>
      <c r="AJ12" s="553" t="str">
        <f>IF(ISNUMBER(Datos!EN12),Datos!EN12," - ")</f>
        <v xml:space="preserve"> - </v>
      </c>
      <c r="AK12" s="553"/>
      <c r="AL12" s="554"/>
      <c r="AM12" s="771" t="str">
        <f>IF(ISNUMBER(Datos!R12),Datos!R12," - ")</f>
        <v xml:space="preserve"> - </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t="str">
        <f>IF(ISNUMBER(Datos!M12),Datos!M12," - ")</f>
        <v xml:space="preserve"> - </v>
      </c>
      <c r="BD12" s="697" t="str">
        <f>IF(ISNUMBER(Datos!N12),Datos!N12," - ")</f>
        <v xml:space="preserve"> - </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t="str">
        <f>IF(ISNUMBER((Datos!P12-Datos!Q12+Datos!DE12)/(Datos!R12-Datos!P12+Datos!Q12-Datos!DE12)),(Datos!P12-Datos!Q12+Datos!DE12)/(Datos!R12-Datos!P12+Datos!Q12-Datos!DE12)," - ")</f>
        <v xml:space="preserve"> - </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9</v>
      </c>
      <c r="F14" s="1200">
        <f t="shared" si="1"/>
        <v>127</v>
      </c>
      <c r="G14" s="1200">
        <f t="shared" si="1"/>
        <v>127</v>
      </c>
      <c r="H14" s="1201">
        <f t="shared" si="1"/>
        <v>0</v>
      </c>
      <c r="I14" s="1200">
        <f t="shared" si="1"/>
        <v>0</v>
      </c>
      <c r="J14" s="1167">
        <f t="shared" si="1"/>
        <v>0</v>
      </c>
      <c r="K14" s="1167">
        <f t="shared" si="1"/>
        <v>0</v>
      </c>
      <c r="L14" s="1201">
        <f t="shared" si="1"/>
        <v>0</v>
      </c>
      <c r="M14" s="1201">
        <f t="shared" si="1"/>
        <v>0</v>
      </c>
      <c r="N14" s="1201">
        <f t="shared" si="1"/>
        <v>1127</v>
      </c>
      <c r="O14" s="1202">
        <f t="shared" si="1"/>
        <v>0</v>
      </c>
      <c r="P14" s="1202">
        <f t="shared" si="1"/>
        <v>0</v>
      </c>
      <c r="Q14" s="1201">
        <f t="shared" si="1"/>
        <v>3043</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141</v>
      </c>
      <c r="AC14" s="1201">
        <f t="shared" si="2"/>
        <v>3953</v>
      </c>
      <c r="AD14" s="1201">
        <f t="shared" si="2"/>
        <v>0</v>
      </c>
      <c r="AE14" s="1201">
        <f t="shared" si="2"/>
        <v>0</v>
      </c>
      <c r="AF14" s="1201">
        <f t="shared" si="2"/>
        <v>142</v>
      </c>
      <c r="AG14" s="1201">
        <f t="shared" si="2"/>
        <v>0</v>
      </c>
      <c r="AH14" s="1201">
        <f t="shared" si="2"/>
        <v>251</v>
      </c>
      <c r="AI14" s="1201">
        <f t="shared" si="2"/>
        <v>0</v>
      </c>
      <c r="AJ14" s="1201">
        <f t="shared" si="2"/>
        <v>0</v>
      </c>
      <c r="AK14" s="1201">
        <f t="shared" si="2"/>
        <v>0</v>
      </c>
      <c r="AL14" s="1201">
        <f t="shared" si="2"/>
        <v>0</v>
      </c>
      <c r="AM14" s="1201">
        <f t="shared" si="2"/>
        <v>13429</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3321</v>
      </c>
      <c r="BD14" s="1201">
        <f t="shared" si="2"/>
        <v>6188</v>
      </c>
      <c r="BE14" s="1201">
        <f t="shared" si="2"/>
        <v>0</v>
      </c>
      <c r="BF14" s="1201">
        <f t="shared" si="2"/>
        <v>0</v>
      </c>
      <c r="BG14" s="1201">
        <f>IF(ISNUMBER(Datos!K14/Datos!J14),Datos!K14/Datos!J14," - ")</f>
        <v>0.94973446031864761</v>
      </c>
      <c r="BH14" s="1205">
        <f>IF(ISNUMBER(((Datos!L14/Datos!K14)*11)/factor_trimestre),((Datos!L14/Datos!K14)*11)/factor_trimestre," - ")</f>
        <v>9.7126092777821533</v>
      </c>
      <c r="BI14" s="1201">
        <f>IF(ISNUMBER('Resol  Asuntos'!D14/NºAsuntos!G14),'Resol  Asuntos'!D14/NºAsuntos!G14," - ")</f>
        <v>0.24011279010917505</v>
      </c>
      <c r="BJ14" s="1201" t="str">
        <f>IF(ISNUMBER(Datos!CI14/Datos!CJ14),Datos!CI14/Datos!CJ14," - ")</f>
        <v xml:space="preserve"> - </v>
      </c>
      <c r="BK14" s="1201">
        <f>SUBTOTAL(9,BK8:BK13)</f>
        <v>0</v>
      </c>
      <c r="BL14" s="1201">
        <f>IF(ISNUMBER((I14-AB14+L14)/(F14)),(I14-AB14+L14)/(F14)," - ")</f>
        <v>-1.110236220472441</v>
      </c>
      <c r="BM14" s="1206">
        <f>SUBTOTAL(9,BM9:BM13)</f>
        <v>9.6588071728521185E-2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5</v>
      </c>
      <c r="B16" s="741" t="s">
        <v>515</v>
      </c>
      <c r="C16" s="754" t="str">
        <f>Datos!A16</f>
        <v xml:space="preserve">Jdos. Instrucción                               </v>
      </c>
      <c r="D16" s="755"/>
      <c r="E16" s="746">
        <f>IF(ISNUMBER(Datos!AQ16),Datos!AQ16," - ")</f>
        <v>5</v>
      </c>
      <c r="F16" s="744">
        <f>IF(ISNUMBER(AF16+AB16-Datos!J16-L16),AF16+AB16-Datos!J16-L16," - ")</f>
        <v>3397</v>
      </c>
      <c r="G16" s="747">
        <f>IF(ISNUMBER(IF(D_I="SI",Datos!I16,Datos!I16+Datos!AC16)),IF(D_I="SI",Datos!I16,Datos!I16+Datos!AC16)," - ")</f>
        <v>3391</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539</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20835</v>
      </c>
      <c r="AC16" s="240">
        <f>IF(ISNUMBER(Datos!Q16),Datos!Q16," - ")</f>
        <v>639</v>
      </c>
      <c r="AD16" s="374"/>
      <c r="AE16" s="566"/>
      <c r="AF16" s="745">
        <f>IF(ISNUMBER(IF(D_I="SI",Datos!L16,Datos!L16+Datos!AF16)),IF(D_I="SI",Datos!L16,Datos!L16+Datos!AF16)," - ")</f>
        <v>2943</v>
      </c>
      <c r="AG16" s="374"/>
      <c r="AH16" s="374"/>
      <c r="AI16" s="374"/>
      <c r="AJ16" s="553"/>
      <c r="AK16" s="374"/>
      <c r="AL16" s="549"/>
      <c r="AM16" s="375">
        <f>IF(ISNUMBER(Datos!R16),Datos!R16," - ")</f>
        <v>368</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1416</v>
      </c>
      <c r="BD16" s="243">
        <f>IF(ISNUMBER(Datos!N16),Datos!N16," - ")</f>
        <v>14969</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1.0222756488886708</v>
      </c>
      <c r="BH16" s="769">
        <f>IF(ISNUMBER(((IF(D_I="SI",Datos!L16/Datos!K16,(Datos!L16+Datos!AF16)/(Datos!K16+Datos!AE16)))*11)/factor_trimestre),((IF(D_I="SI",Datos!L16/Datos!K16,(Datos!L16+Datos!AF16)/(Datos!K16+Datos!AE16)))*11)/factor_trimestre," - ")</f>
        <v>1.55377969762419</v>
      </c>
      <c r="BI16" s="266">
        <f>IF(ISNUMBER('Resol  Asuntos'!D16/NºAsuntos!G16),'Resol  Asuntos'!D16/NºAsuntos!G16," - ")</f>
        <v>6.796256299496041E-2</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515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544</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6</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1859</v>
      </c>
      <c r="AC18" s="551">
        <f>IF(ISNUMBER(Datos!Q18),Datos!Q18," - ")</f>
        <v>10</v>
      </c>
      <c r="AD18" s="553"/>
      <c r="AE18" s="566"/>
      <c r="AF18" s="555">
        <f>IF(ISNUMBER(Datos!L18),Datos!L18,"-")</f>
        <v>405</v>
      </c>
      <c r="AG18" s="553"/>
      <c r="AH18" s="553"/>
      <c r="AI18" s="553"/>
      <c r="AJ18" s="553"/>
      <c r="AK18" s="553"/>
      <c r="AL18" s="554"/>
      <c r="AM18" s="771">
        <f>IF(ISNUMBER(Datos!R18),Datos!R18," - ")</f>
        <v>5</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25</v>
      </c>
      <c r="BD18" s="697">
        <f>IF(ISNUMBER(Datos!N18),Datos!N18," - ")</f>
        <v>1083</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1.0833333333333333</v>
      </c>
      <c r="BH18" s="769">
        <f>IF(ISNUMBER(((IF(D_I="SI",Datos!L18/Datos!K18,(Datos!L18+Datos!AF18)/(Datos!K18+Datos!AE18)))*11)/factor_trimestre),((IF(D_I="SI",Datos!L18/Datos!K18,(Datos!L18+Datos!AF18)/(Datos!K18+Datos!AE18)))*11)/factor_trimestre," - ")</f>
        <v>2.3964497041420119</v>
      </c>
      <c r="BI18" s="768">
        <f>IF(ISNUMBER('Resol  Asuntos'!D18/NºAsuntos!G18),'Resol  Asuntos'!D18/NºAsuntos!G18," - ")</f>
        <v>1.3448090371167294E-2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6</v>
      </c>
      <c r="F23" s="1200">
        <f>SUBTOTAL(9,F16:F22)</f>
        <v>3397</v>
      </c>
      <c r="G23" s="1200">
        <f>SUBTOTAL(9,G16:G22)</f>
        <v>3935</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545</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22694</v>
      </c>
      <c r="AC23" s="1201">
        <f t="shared" si="5"/>
        <v>649</v>
      </c>
      <c r="AD23" s="1201">
        <f t="shared" si="5"/>
        <v>0</v>
      </c>
      <c r="AE23" s="1201">
        <f t="shared" si="5"/>
        <v>0</v>
      </c>
      <c r="AF23" s="1201">
        <f t="shared" si="5"/>
        <v>3348</v>
      </c>
      <c r="AG23" s="1201">
        <f t="shared" si="5"/>
        <v>0</v>
      </c>
      <c r="AH23" s="1201">
        <f t="shared" si="5"/>
        <v>0</v>
      </c>
      <c r="AI23" s="1201">
        <f t="shared" si="5"/>
        <v>0</v>
      </c>
      <c r="AJ23" s="1201">
        <f t="shared" si="5"/>
        <v>0</v>
      </c>
      <c r="AK23" s="1201">
        <f t="shared" si="5"/>
        <v>0</v>
      </c>
      <c r="AL23" s="1201">
        <f t="shared" si="5"/>
        <v>0</v>
      </c>
      <c r="AM23" s="1201">
        <f t="shared" si="5"/>
        <v>373</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1441</v>
      </c>
      <c r="BD23" s="1201">
        <f t="shared" si="5"/>
        <v>16052</v>
      </c>
      <c r="BE23" s="1201">
        <f t="shared" si="5"/>
        <v>0</v>
      </c>
      <c r="BF23" s="1201">
        <f t="shared" si="5"/>
        <v>0</v>
      </c>
      <c r="BG23" s="1201">
        <f>IF(ISNUMBER(Datos!K23/Datos!J23),Datos!K23/Datos!J23," - ")</f>
        <v>1.0270172421595691</v>
      </c>
      <c r="BH23" s="1205">
        <f>IF(ISNUMBER(((Datos!L23/Datos!K23)*11)/factor_trimestre),((Datos!L23/Datos!K23)*11)/factor_trimestre," - ")</f>
        <v>1.6228077906054466</v>
      </c>
      <c r="BI23" s="1201">
        <f>SUBTOTAL(9,BI16:BI22)</f>
        <v>8.1410653366127711E-2</v>
      </c>
      <c r="BJ23" s="1201">
        <f>SUBTOTAL(9,BJ16:BJ22)</f>
        <v>0</v>
      </c>
      <c r="BK23" s="1201">
        <f>SUBTOTAL(9,BK16:BK22)</f>
        <v>0</v>
      </c>
      <c r="BL23" s="1201">
        <f>IF(ISNUMBER((I23-AB23+L23)/(F23)),(I23-AB23+L23)/(F23)," - ")</f>
        <v>-6.680600529879305</v>
      </c>
      <c r="BM23" s="1208">
        <f>IF(ISNUMBER((Datos!P23-Datos!Q23)/(Datos!R23-Datos!P23+Datos!Q23)),(Datos!P23-Datos!Q23)/(Datos!R23-Datos!P23+Datos!Q23)," - ")</f>
        <v>-0.2180293501048218</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15</v>
      </c>
      <c r="F31" s="1120">
        <f t="shared" si="16"/>
        <v>3524</v>
      </c>
      <c r="G31" s="1120">
        <f t="shared" si="16"/>
        <v>4062</v>
      </c>
      <c r="H31" s="1122">
        <f t="shared" si="16"/>
        <v>0</v>
      </c>
      <c r="I31" s="1120">
        <f t="shared" si="16"/>
        <v>0</v>
      </c>
      <c r="J31" s="1122">
        <f t="shared" si="16"/>
        <v>0</v>
      </c>
      <c r="K31" s="1122">
        <f t="shared" si="16"/>
        <v>0</v>
      </c>
      <c r="L31" s="1183">
        <f t="shared" si="16"/>
        <v>0</v>
      </c>
      <c r="M31" s="1183">
        <f t="shared" si="16"/>
        <v>0</v>
      </c>
      <c r="N31" s="1183">
        <f t="shared" si="16"/>
        <v>1127</v>
      </c>
      <c r="O31" s="1183">
        <f t="shared" si="16"/>
        <v>0</v>
      </c>
      <c r="P31" s="1183">
        <f t="shared" si="16"/>
        <v>0</v>
      </c>
      <c r="Q31" s="1122">
        <f t="shared" si="16"/>
        <v>3588</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22835</v>
      </c>
      <c r="AC31" s="1121">
        <f t="shared" si="17"/>
        <v>4602</v>
      </c>
      <c r="AD31" s="1121">
        <f t="shared" si="17"/>
        <v>0</v>
      </c>
      <c r="AE31" s="1121">
        <f t="shared" si="17"/>
        <v>0</v>
      </c>
      <c r="AF31" s="1128">
        <f t="shared" si="17"/>
        <v>3490</v>
      </c>
      <c r="AG31" s="1128">
        <f t="shared" si="17"/>
        <v>0</v>
      </c>
      <c r="AH31" s="1128">
        <f t="shared" si="17"/>
        <v>251</v>
      </c>
      <c r="AI31" s="1128">
        <f t="shared" si="17"/>
        <v>0</v>
      </c>
      <c r="AJ31" s="1121">
        <f t="shared" si="17"/>
        <v>0</v>
      </c>
      <c r="AK31" s="1128">
        <f t="shared" si="17"/>
        <v>0</v>
      </c>
      <c r="AL31" s="1128">
        <f t="shared" si="17"/>
        <v>0</v>
      </c>
      <c r="AM31" s="1128">
        <f t="shared" si="17"/>
        <v>13802</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4762</v>
      </c>
      <c r="BD31" s="1120">
        <f t="shared" si="17"/>
        <v>22240</v>
      </c>
      <c r="BE31" s="1120">
        <f t="shared" si="17"/>
        <v>0</v>
      </c>
      <c r="BF31" s="1130">
        <f t="shared" si="17"/>
        <v>0</v>
      </c>
      <c r="BG31" s="1227">
        <f>IF(ISNUMBER(Datos!K31/Datos!J31),Datos!K31/Datos!J31," - ")</f>
        <v>0.9978852985958383</v>
      </c>
      <c r="BH31" s="1227">
        <f>IF(ISNUMBER(((Datos!L31/Datos!K31)*11)/factor_trimestre),((Datos!L31/Datos!K31)*11)/factor_trimestre," - ")</f>
        <v>4.5251335085191151</v>
      </c>
      <c r="BI31" s="1106">
        <f>IF(ISNUMBER(Datos!J31/Datos!I31),Datos!J31/Datos!I31," - ")</f>
        <v>2.4572853876532945</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-6.4798524404086262</v>
      </c>
      <c r="BM31" s="1191">
        <f>IF(ISNUMBER((Datos!P31-Datos!Q31+R31)/(Datos!R31-Datos!P31+Datos!Q31-R31)),(Datos!P31-Datos!Q31+R31)/(Datos!R31-Datos!P31+Datos!Q31-R31)," - ")</f>
        <v>-6.8439524838012952E-2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1160.5714285714287</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2.9873025638838686</v>
      </c>
      <c r="F33" s="677">
        <f>IF(ISNUMBER(STDEV(F8:F30)),STDEV(F8:F30),"-")</f>
        <v>1722.3487064664537</v>
      </c>
      <c r="G33" s="678">
        <f>IF(ISNUMBER(STDEV(G8:G30)),STDEV(G8:G30),"-")</f>
        <v>1726.4036663097131</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10445.464529550385</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1437.0363351604678</v>
      </c>
      <c r="BD33" s="677"/>
      <c r="BE33" s="677">
        <f>IF(ISNUMBER(STDEV(BE8:BE30)),STDEV(BE8:BE30),"-")</f>
        <v>0</v>
      </c>
      <c r="BF33" s="682">
        <f>IF(ISNUMBER(STDEV(BF8:BF30)),STDEV(BF8:BF30),"-")</f>
        <v>0</v>
      </c>
      <c r="BG33" s="1055">
        <f>IF(ISNUMBER(STDEV(BG8:BG30)),STDEV(BG8:BG30),"-")</f>
        <v>6.5444365952369146E-2</v>
      </c>
      <c r="BH33" s="1061">
        <f>IF(ISNUMBER(STDEV(BH8:BH30)),STDEV(BH8:BH30),"-")</f>
        <v>4.4948534680279755</v>
      </c>
      <c r="BI33" s="273">
        <f>IF(ISNUMBER(STDEV(BI8:BI30)),STDEV(BI8:BI30),"-")</f>
        <v>9.7455350391230933E-2</v>
      </c>
      <c r="BJ33" s="244" t="str">
        <f>IF(ISNUMBER(BL33/BM33),BL33/BM33," - ")</f>
        <v xml:space="preserve"> - </v>
      </c>
      <c r="BK33" s="713"/>
      <c r="BL33" s="685">
        <f>IF(ISNUMBER(STDEV(BL8:BL30)),STDEV(BL8:BL30),"-")</f>
        <v>3.9388423768611136</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CfFcSeusIhn55ULAt5vbXnknPfdccmoM8tR7Fse8yRBDZrUR+FZA2nk1WoXA9EA7Lht5pQ0h/Oey4FF6B5+vxg==" saltValue="ogkjsycYnGKxzMqOf39x3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L'HOSPITALET DE LLOBREGAT</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8</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3009</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3935</v>
      </c>
      <c r="AA9" s="555" t="str">
        <f>IF(ISNUMBER(IF(J_V="SI",Datos!L9,Datos!L9+Datos!AB9)-IF(Monitorios="SI",Datos!CD9,0)),
                          IF(J_V="SI",Datos!L9,Datos!L9+Datos!AB9)-IF(Monitorios="SI",Datos!CD9,0),
                          " - ")</f>
        <v xml:space="preserve"> - </v>
      </c>
      <c r="AB9" s="553"/>
      <c r="AC9" s="553"/>
      <c r="AD9" s="567"/>
      <c r="AE9" s="567">
        <f>IF(ISNUMBER(Datos!R9),Datos!R9," - ")</f>
        <v>13314</v>
      </c>
      <c r="AF9" s="697" t="str">
        <f>IF(ISNUMBER(Datos!BV9),Datos!BV9," - ")</f>
        <v xml:space="preserve"> - </v>
      </c>
      <c r="AG9" s="556" t="str">
        <f>IF(ISNUMBER(Datos!DV9),Datos!DV9," - ")</f>
        <v xml:space="preserve"> - </v>
      </c>
      <c r="AH9" s="557"/>
      <c r="AI9" s="558"/>
      <c r="AJ9" s="556">
        <f>IF(ISNUMBER(Datos!M9),Datos!M9," - ")</f>
        <v>3268</v>
      </c>
      <c r="AK9" s="697">
        <f>IF(ISNUMBER(Datos!N9),Datos!N9," - ")</f>
        <v>6187</v>
      </c>
      <c r="AL9" s="697" t="str">
        <f>IF(ISNUMBER(Datos!BW9),Datos!BW9," - ")</f>
        <v xml:space="preserve"> - </v>
      </c>
      <c r="AM9" s="767" t="str">
        <f>IF(ISNUMBER(Datos!BX9),Datos!BX9," - ")</f>
        <v xml:space="preserve"> - </v>
      </c>
      <c r="AN9" s="768"/>
      <c r="AO9" s="769">
        <f>IF(ISNUMBER(((NºAsuntos!I9/NºAsuntos!G9)*11)/factor_trimestre),((NºAsuntos!I9/NºAsuntos!G9)*11)/factor_trimestre," - ")</f>
        <v>9.0956902848794741</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-6.5028089887640445E-2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1</v>
      </c>
      <c r="F10" s="556">
        <f>IF(ISNUMBER(Datos!L10+Datos!K10-Datos!J10),Datos!L10+Datos!K10-Datos!J10," - ")</f>
        <v>127</v>
      </c>
      <c r="G10" s="556">
        <f>IF(ISNUMBER(Datos!I10),Datos!I10," - ")</f>
        <v>127</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34</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141</v>
      </c>
      <c r="Z10" s="810">
        <f>IF(ISNUMBER(Datos!Q10),Datos!Q10," - ")</f>
        <v>18</v>
      </c>
      <c r="AA10" s="555">
        <f>IF(ISNUMBER(Datos!L10),Datos!L10,"-")</f>
        <v>142</v>
      </c>
      <c r="AB10" s="553"/>
      <c r="AC10" s="553"/>
      <c r="AD10" s="567"/>
      <c r="AE10" s="567">
        <f>IF(ISNUMBER(Datos!R10),Datos!R10," - ")</f>
        <v>115</v>
      </c>
      <c r="AF10" s="697" t="str">
        <f>IF(ISNUMBER(Datos!BV10),Datos!BV10," - ")</f>
        <v xml:space="preserve"> - </v>
      </c>
      <c r="AG10" s="556" t="str">
        <f>IF(ISNUMBER(Datos!DV10),Datos!DV10," - ")</f>
        <v xml:space="preserve"> - </v>
      </c>
      <c r="AH10" s="557"/>
      <c r="AI10" s="558"/>
      <c r="AJ10" s="556">
        <f>IF(ISNUMBER(Datos!M10),Datos!M10," - ")</f>
        <v>53</v>
      </c>
      <c r="AK10" s="697">
        <f>IF(ISNUMBER(Datos!N10),Datos!N10," - ")</f>
        <v>1</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11.078014184397162</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0.16161616161616163</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t="str">
        <f>IF(ISNUMBER(Datos!Q12),Datos!Q12," - ")</f>
        <v xml:space="preserve"> - </v>
      </c>
      <c r="AA12" s="555" t="str">
        <f>IF(ISNUMBER(IF(J_V="SI",Datos!L12,Datos!L12+Datos!AB12)-IF(Monitorios="SI",Datos!CD12,0)),
                          IF(J_V="SI",Datos!L12,Datos!L12+Datos!AB12)-IF(Monitorios="SI",Datos!CD12,0),
                          " - ")</f>
        <v xml:space="preserve"> - </v>
      </c>
      <c r="AB12" s="553"/>
      <c r="AC12" s="553"/>
      <c r="AD12" s="567"/>
      <c r="AE12" s="567" t="str">
        <f>IF(ISNUMBER(Datos!R12),Datos!R12," - ")</f>
        <v xml:space="preserve"> - </v>
      </c>
      <c r="AF12" s="697" t="str">
        <f>IF(ISNUMBER(Datos!BV12),Datos!BV12," - ")</f>
        <v xml:space="preserve"> - </v>
      </c>
      <c r="AG12" s="556" t="str">
        <f>IF(ISNUMBER(Datos!DV12),Datos!DV12," - ")</f>
        <v xml:space="preserve"> - </v>
      </c>
      <c r="AH12" s="557"/>
      <c r="AI12" s="558"/>
      <c r="AJ12" s="556" t="str">
        <f>IF(ISNUMBER(Datos!M12),Datos!M12," - ")</f>
        <v xml:space="preserve"> - </v>
      </c>
      <c r="AK12" s="697" t="str">
        <f>IF(ISNUMBER(Datos!N12),Datos!N12," - ")</f>
        <v xml:space="preserve"> - </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t="str">
        <f>IF(ISNUMBER((Datos!P12-Datos!Q12+Datos!DE12)/(Datos!R12-Datos!P12+Datos!Q12-Datos!DE12)),(Datos!P12-Datos!Q12+Datos!DE12)/(Datos!R12-Datos!P12+Datos!Q12-Datos!DE12)," - ")</f>
        <v xml:space="preserve"> - </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9</v>
      </c>
      <c r="F14" s="1200">
        <f>SUBTOTAL(9,F8:F13)</f>
        <v>127</v>
      </c>
      <c r="G14" s="1200">
        <f>SUBTOTAL(9,G8:G13)</f>
        <v>127</v>
      </c>
      <c r="H14" s="1214"/>
      <c r="I14" s="1200">
        <f t="shared" ref="I14:N14" si="1">SUBTOTAL(9,I8:I13)</f>
        <v>0</v>
      </c>
      <c r="J14" s="1167">
        <f t="shared" si="1"/>
        <v>0</v>
      </c>
      <c r="K14" s="1214">
        <f t="shared" si="1"/>
        <v>0</v>
      </c>
      <c r="L14" s="1214">
        <f t="shared" si="1"/>
        <v>0</v>
      </c>
      <c r="M14" s="1214">
        <f t="shared" si="1"/>
        <v>0</v>
      </c>
      <c r="N14" s="1214">
        <f t="shared" si="1"/>
        <v>3043</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141</v>
      </c>
      <c r="Z14" s="1213">
        <f t="shared" si="3"/>
        <v>3953</v>
      </c>
      <c r="AA14" s="1202">
        <f t="shared" si="3"/>
        <v>142</v>
      </c>
      <c r="AB14" s="1202">
        <f t="shared" si="3"/>
        <v>0</v>
      </c>
      <c r="AC14" s="1202">
        <f t="shared" si="3"/>
        <v>0</v>
      </c>
      <c r="AD14" s="1202">
        <f t="shared" si="3"/>
        <v>0</v>
      </c>
      <c r="AE14" s="1202">
        <f t="shared" si="3"/>
        <v>13429</v>
      </c>
      <c r="AF14" s="1214">
        <f t="shared" si="3"/>
        <v>0</v>
      </c>
      <c r="AG14" s="1214">
        <f t="shared" si="3"/>
        <v>0</v>
      </c>
      <c r="AH14" s="1214">
        <f t="shared" si="3"/>
        <v>0</v>
      </c>
      <c r="AI14" s="1214">
        <f t="shared" si="3"/>
        <v>0</v>
      </c>
      <c r="AJ14" s="1214">
        <f t="shared" si="3"/>
        <v>3321</v>
      </c>
      <c r="AK14" s="1214">
        <f t="shared" si="3"/>
        <v>6188</v>
      </c>
      <c r="AL14" s="1214">
        <f t="shared" si="3"/>
        <v>0</v>
      </c>
      <c r="AM14" s="1214">
        <f t="shared" si="3"/>
        <v>0</v>
      </c>
      <c r="AN14" s="1214">
        <f t="shared" si="3"/>
        <v>0</v>
      </c>
      <c r="AO14" s="1206">
        <f>IF(ISNUMBER(((NºAsuntos!I14/NºAsuntos!G14)*11)/factor_trimestre),((NºAsuntos!I14/NºAsuntos!G14)*11)/factor_trimestre," - ")</f>
        <v>9.1158990673125597</v>
      </c>
      <c r="AP14" s="1216" t="str">
        <f>IF(ISNUMBER(Datos!CI14/Datos!CJ14),Datos!CI14/Datos!CJ14," - ")</f>
        <v xml:space="preserve"> - </v>
      </c>
      <c r="AQ14" s="1240">
        <f>SUBTOTAL(9,AQ9:AQ13)</f>
        <v>0</v>
      </c>
      <c r="AR14" s="1240">
        <f>SUBTOTAL(9,AR9:AR13)</f>
        <v>9.6588071728521185E-2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5</v>
      </c>
      <c r="B16" s="750" t="s">
        <v>515</v>
      </c>
      <c r="C16" s="770" t="str">
        <f>Datos!A16</f>
        <v xml:space="preserve">Jdos. Instrucción                               </v>
      </c>
      <c r="D16" s="597"/>
      <c r="E16" s="752">
        <f>IF(ISNUMBER(Datos!AQ16),Datos!AQ16," - ")</f>
        <v>5</v>
      </c>
      <c r="F16" s="547">
        <f>IF(ISNUMBER(AA16+Y16-Datos!J16-K16),AA16+Y16-Datos!J16-K16," - ")</f>
        <v>3397</v>
      </c>
      <c r="G16" s="556">
        <f>IF(ISNUMBER(IF(D_I="SI",Datos!I16,Datos!I16+Datos!AC16)),IF(D_I="SI",Datos!I16,Datos!I16+Datos!AC16)," - ")</f>
        <v>3391</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539</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20835</v>
      </c>
      <c r="Z16" s="810">
        <f>IF(ISNUMBER(Datos!Q16),Datos!Q16," - ")</f>
        <v>639</v>
      </c>
      <c r="AA16" s="555">
        <f>IF(ISNUMBER(IF(D_I="SI",Datos!L16,Datos!L16+Datos!AF16)),IF(D_I="SI",Datos!L16,Datos!L16+Datos!AF16)," - ")</f>
        <v>2943</v>
      </c>
      <c r="AB16" s="553"/>
      <c r="AC16" s="553"/>
      <c r="AD16" s="567"/>
      <c r="AE16" s="567">
        <f>IF(ISNUMBER(Datos!R16),Datos!R16," - ")</f>
        <v>368</v>
      </c>
      <c r="AF16" s="697" t="str">
        <f>IF(ISNUMBER(Datos!BV16),Datos!BV16," - ")</f>
        <v xml:space="preserve"> - </v>
      </c>
      <c r="AG16" s="556"/>
      <c r="AH16" s="557"/>
      <c r="AI16" s="558"/>
      <c r="AJ16" s="556">
        <f>IF(ISNUMBER(Datos!M16),Datos!M16," - ")</f>
        <v>1416</v>
      </c>
      <c r="AK16" s="697">
        <f>IF(ISNUMBER(Datos!N16),Datos!N16," - ")</f>
        <v>14969</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1.55377969762419</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515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544</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6</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1859</v>
      </c>
      <c r="Z18" s="810">
        <f>IF(ISNUMBER(Datos!Q18),Datos!Q18," - ")</f>
        <v>10</v>
      </c>
      <c r="AA18" s="555">
        <f>IF(ISNUMBER(Datos!L18),Datos!L18,"-")</f>
        <v>405</v>
      </c>
      <c r="AB18" s="553"/>
      <c r="AC18" s="553"/>
      <c r="AD18" s="567"/>
      <c r="AE18" s="567">
        <f>IF(ISNUMBER(Datos!R18),Datos!R18," - ")</f>
        <v>5</v>
      </c>
      <c r="AF18" s="697" t="str">
        <f>IF(ISNUMBER(Datos!BV18),Datos!BV18," - ")</f>
        <v xml:space="preserve"> - </v>
      </c>
      <c r="AG18" s="556" t="str">
        <f>IF(ISNUMBER(Datos!DV18),Datos!DV18," - ")</f>
        <v xml:space="preserve"> - </v>
      </c>
      <c r="AH18" s="557"/>
      <c r="AI18" s="558"/>
      <c r="AJ18" s="556">
        <f>IF(ISNUMBER(Datos!M18),Datos!M18," - ")</f>
        <v>25</v>
      </c>
      <c r="AK18" s="697">
        <f>IF(ISNUMBER(Datos!N18),Datos!N18," - ")</f>
        <v>1083</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2.3964497041420119</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6</v>
      </c>
      <c r="F23" s="1200">
        <f>SUBTOTAL(9,F16:F22)</f>
        <v>3397</v>
      </c>
      <c r="G23" s="1200">
        <f>SUBTOTAL(9,G16:G22)</f>
        <v>3935</v>
      </c>
      <c r="H23" s="1245">
        <f>SUBTOTAL(9,H16:H22)</f>
        <v>0</v>
      </c>
      <c r="I23" s="1220">
        <f>SUBTOTAL(9,I16:I22)</f>
        <v>0</v>
      </c>
      <c r="J23" s="1167">
        <f>SUBTOTAL(9,J15:J22)</f>
        <v>0</v>
      </c>
      <c r="K23" s="1245">
        <f t="shared" ref="K23:S23" si="4">SUBTOTAL(9,K16:K22)</f>
        <v>0</v>
      </c>
      <c r="L23" s="1245">
        <f t="shared" si="4"/>
        <v>0</v>
      </c>
      <c r="M23" s="1245">
        <f t="shared" si="4"/>
        <v>0</v>
      </c>
      <c r="N23" s="1245">
        <f t="shared" si="4"/>
        <v>545</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22694</v>
      </c>
      <c r="Z23" s="1245">
        <f t="shared" si="5"/>
        <v>649</v>
      </c>
      <c r="AA23" s="1245">
        <f t="shared" si="5"/>
        <v>3348</v>
      </c>
      <c r="AB23" s="1245">
        <f t="shared" si="5"/>
        <v>0</v>
      </c>
      <c r="AC23" s="1245">
        <f t="shared" si="5"/>
        <v>0</v>
      </c>
      <c r="AD23" s="1245">
        <f t="shared" si="5"/>
        <v>0</v>
      </c>
      <c r="AE23" s="1245">
        <f t="shared" si="5"/>
        <v>373</v>
      </c>
      <c r="AF23" s="1245">
        <f t="shared" si="5"/>
        <v>0</v>
      </c>
      <c r="AG23" s="1245">
        <f t="shared" si="5"/>
        <v>0</v>
      </c>
      <c r="AH23" s="1245">
        <f t="shared" si="5"/>
        <v>0</v>
      </c>
      <c r="AI23" s="1245">
        <f t="shared" si="5"/>
        <v>0</v>
      </c>
      <c r="AJ23" s="1245">
        <f t="shared" si="5"/>
        <v>1441</v>
      </c>
      <c r="AK23" s="1245">
        <f t="shared" si="5"/>
        <v>16052</v>
      </c>
      <c r="AL23" s="1245">
        <f t="shared" si="5"/>
        <v>0</v>
      </c>
      <c r="AM23" s="1245">
        <f t="shared" si="5"/>
        <v>0</v>
      </c>
      <c r="AN23" s="1245">
        <f t="shared" si="5"/>
        <v>0</v>
      </c>
      <c r="AO23" s="1247">
        <f>IF(ISNUMBER(((NºAsuntos!I23/NºAsuntos!G23)*11)/factor_trimestre),((NºAsuntos!I23/NºAsuntos!G23)*11)/factor_trimestre," - ")</f>
        <v>1.6228077906054466</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15</v>
      </c>
      <c r="F31" s="1120">
        <f t="shared" si="10"/>
        <v>3524</v>
      </c>
      <c r="G31" s="1120">
        <f t="shared" si="10"/>
        <v>4062</v>
      </c>
      <c r="H31" s="1121">
        <f t="shared" si="10"/>
        <v>0</v>
      </c>
      <c r="I31" s="1120">
        <f t="shared" si="10"/>
        <v>0</v>
      </c>
      <c r="J31" s="1122">
        <f t="shared" si="10"/>
        <v>0</v>
      </c>
      <c r="K31" s="1120">
        <f t="shared" si="10"/>
        <v>0</v>
      </c>
      <c r="L31" s="1123">
        <f t="shared" si="10"/>
        <v>0</v>
      </c>
      <c r="M31" s="1120">
        <f t="shared" si="10"/>
        <v>0</v>
      </c>
      <c r="N31" s="1121">
        <f t="shared" si="10"/>
        <v>3588</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22835</v>
      </c>
      <c r="Z31" s="1127">
        <f t="shared" si="11"/>
        <v>4602</v>
      </c>
      <c r="AA31" s="1128">
        <f t="shared" si="11"/>
        <v>3490</v>
      </c>
      <c r="AB31" s="1128">
        <f t="shared" si="11"/>
        <v>0</v>
      </c>
      <c r="AC31" s="1128">
        <f t="shared" si="11"/>
        <v>0</v>
      </c>
      <c r="AD31" s="1129">
        <f t="shared" si="11"/>
        <v>0</v>
      </c>
      <c r="AE31" s="1129">
        <f t="shared" si="11"/>
        <v>13802</v>
      </c>
      <c r="AF31" s="1130">
        <f t="shared" si="11"/>
        <v>0</v>
      </c>
      <c r="AG31" s="1131">
        <f t="shared" si="11"/>
        <v>0</v>
      </c>
      <c r="AH31" s="1132">
        <f t="shared" si="11"/>
        <v>0</v>
      </c>
      <c r="AI31" s="1130">
        <f t="shared" si="11"/>
        <v>0</v>
      </c>
      <c r="AJ31" s="1120">
        <f t="shared" si="11"/>
        <v>4762</v>
      </c>
      <c r="AK31" s="1120">
        <f t="shared" si="11"/>
        <v>22240</v>
      </c>
      <c r="AL31" s="1120">
        <f t="shared" si="11"/>
        <v>0</v>
      </c>
      <c r="AM31" s="1133">
        <f t="shared" si="11"/>
        <v>0</v>
      </c>
      <c r="AN31" s="1123">
        <f>IF(ISNUMBER(Datos!K31/Datos!J31),Datos!K31/Datos!J31," - ")</f>
        <v>0.9978852985958383</v>
      </c>
      <c r="AO31" s="1123">
        <f>IF(ISNUMBER(FIND("06",Criterios!A8,1)),(IF(ISNUMBER(((Datos!R31/Datos!Q31)*11)/factor_trimestre),((Datos!R31/Datos!Q31)*11)/factor_trimestre," - ")),(IF(ISNUMBER(((Datos!L31/Datos!K31)*11)/factor_trimestre),((Datos!L31/Datos!K31)*11)/factor_trimestre," - ")))</f>
        <v>4.5251335085191151</v>
      </c>
      <c r="AP31" s="1134" t="str">
        <f>IF(ISNUMBER(Datos!CI31/Datos!CJ31),Datos!CI31/Datos!CJ31," - ")</f>
        <v xml:space="preserve"> - </v>
      </c>
      <c r="AQ31" s="1134">
        <f>IF(OR(ISNUMBER(FIND("01",Criterios!A8,1)),ISNUMBER(FIND("02",Criterios!A8,1)),ISNUMBER(FIND("03",Criterios!A8,1)),ISNUMBER(FIND("04",Criterios!A8,1))),(J31-Y31+K31)/(F31-K31),(I31-Y31+K31)/(F31-K31))</f>
        <v>-6.4798524404086262</v>
      </c>
      <c r="AR31" s="1134">
        <f>IF(ISNUMBER((Datos!P31-Datos!Q31+O31)/(Datos!R31-Datos!P31+Datos!Q31-O31)),(Datos!P31-Datos!Q31+O31)/(Datos!R31-Datos!P31+Datos!Q31-O31)," - ")</f>
        <v>-6.8439524838012952E-2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1160.5714285714287</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1722.3487064664537</v>
      </c>
      <c r="G33" s="678">
        <f>IF(ISNUMBER(STDEV(G8:G30)),STDEV(G8:G30),"-")</f>
        <v>1726.4036663097131</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1437.0363351604678</v>
      </c>
      <c r="AK33" s="276"/>
      <c r="AL33" s="276">
        <f>IF(ISNUMBER(STDEV(AL8:AL30)),STDEV(AL8:AL30),"-")</f>
        <v>0</v>
      </c>
      <c r="AM33" s="278">
        <f>IF(ISNUMBER(STDEV(AM8:AM30)),STDEV(AM8:AM30),"-")</f>
        <v>0</v>
      </c>
      <c r="AN33" s="664">
        <f>IF(ISNUMBER(STDEV(AN8:AN30)),STDEV(AN8:AN30),"-")</f>
        <v>0</v>
      </c>
      <c r="AO33" s="665">
        <f>IF(ISNUMBER(STDEV(AO8:AO30)),STDEV(AO8:AO30),"-")</f>
        <v>4.3994776294305691</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P947ZvZUAu3oirYnxLbytNk4cwqsnSdT2DorhXJYa0BtKcW4z0oWnifmUDD/53y1FF8Vnwn4SlliNvKYau3y7Q==" saltValue="rvZL4FDtrn6YX9OFmmPpVg=="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TYXA2B+HEKJHPxMqEdY+sju+5ULBFpqA/8CZgMbWqkryEh28n9C+ueyza05O1elZEguWHtUT5WcyWyzleTMU1g==" saltValue="PGLx+CfL3B+N7W1N7E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lRUv+SF77zPV3MG757Kxhb5bV4wy04G31E7QjU1ipnWn115KJwahYAoSQuRRU9ao2Fbs4SVHNi5NpWelIwTCA==" saltValue="LOV5fL2kXTa5cUicszQSrw=="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L'HOSPITALET DE LLOBREGAT</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0.24011279010917505</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0.16978538213581987</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9o1YXPtSHDknKXVIujDh3FqgFrtP9UQGjzr/OxB/eV0Zp7Zfawbllv315HrEEUCP+e4ajSm5iH7S1bIcQ7A3HA==" saltValue="lUJGMP3Phgyf2ZIGLpXWK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BeOLny7SOFGDbArvWxt1SYx4sOjFH47ekHLN5ULdjWAIyBFSWd2Pb1Qs27CDuD/X1FfOXiss6MZCsi8t8TSfqQ==" saltValue="QshAWXC+RuQ+70tSCXII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L'HOSPITALET DE LLOBREGAT</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8</v>
      </c>
      <c r="C9" s="452">
        <f>IF(ISNUMBER(IF(J_V="SI",Datos!I9,Datos!I9+Datos!Y9)),IF(J_V="SI",Datos!I9,Datos!I9+Datos!Y9)," - ")</f>
        <v>10628</v>
      </c>
      <c r="D9" s="453">
        <f>IF(ISNUMBER(C9/Datos!BH9),C9/Datos!BH9," - ")</f>
        <v>1328.5</v>
      </c>
      <c r="E9" s="452">
        <f>IF(ISNUMBER(IF(J_V="SI",Datos!J9,Datos!J9+Datos!Z9)),IF(J_V="SI",Datos!J9,Datos!J9+Datos!Z9)," - ")</f>
        <v>14340</v>
      </c>
      <c r="F9" s="453">
        <f>IF(ISNUMBER(E9/B9),E9/B9," - ")</f>
        <v>1792.5</v>
      </c>
      <c r="G9" s="452">
        <f>IF(ISNUMBER(IF(J_V="SI",Datos!K9,Datos!K9+Datos!AA9)),IF(J_V="SI",Datos!K9,Datos!K9+Datos!AA9)," - ")</f>
        <v>13690</v>
      </c>
      <c r="H9" s="453">
        <f>IF(ISNUMBER(G9/B9),G9/B9," - ")</f>
        <v>1711.25</v>
      </c>
      <c r="I9" s="452">
        <f>IF(ISNUMBER(IF(J_V="SI",Datos!L9,Datos!L9+Datos!AB9)),IF(J_V="SI",Datos!L9,Datos!L9+Datos!AB9)," - ")</f>
        <v>11320</v>
      </c>
      <c r="J9" s="453">
        <f>IF(ISNUMBER(I9/B9),I9/B9," - ")</f>
        <v>1415</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127</v>
      </c>
      <c r="D10" s="453">
        <f>IF(ISNUMBER(C10/Datos!BH10),C10/Datos!BH10," - ")</f>
        <v>127</v>
      </c>
      <c r="E10" s="452">
        <f>IF(ISNUMBER(Datos!J10),Datos!J10," - ")</f>
        <v>156</v>
      </c>
      <c r="F10" s="453">
        <f>IF(ISNUMBER(E10/B10),E10/B10," - ")</f>
        <v>156</v>
      </c>
      <c r="G10" s="452">
        <f>IF(ISNUMBER(Datos!K10),Datos!K10," - ")</f>
        <v>141</v>
      </c>
      <c r="H10" s="453">
        <f>IF(ISNUMBER(G10/B10),G10/B10," - ")</f>
        <v>141</v>
      </c>
      <c r="I10" s="452">
        <f>IF(ISNUMBER(Datos!L10),Datos!L10," - ")</f>
        <v>142</v>
      </c>
      <c r="J10" s="453">
        <f>IF(ISNUMBER(I10/B10),I10/B10," - ")</f>
        <v>142</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t="str">
        <f>IF(ISNUMBER(IF(J_V="SI",Datos!I12,Datos!I12+Datos!Y12)),IF(J_V="SI",Datos!I12,Datos!I12+Datos!Y12)," - ")</f>
        <v xml:space="preserve"> - </v>
      </c>
      <c r="D12" s="453" t="str">
        <f>IF(ISNUMBER(C12/Datos!BH12),C12/Datos!BH12," - ")</f>
        <v xml:space="preserve"> - </v>
      </c>
      <c r="E12" s="452" t="str">
        <f>IF(ISNUMBER(IF(J_V="SI",Datos!J12,Datos!J12+Datos!Z12)),IF(J_V="SI",Datos!J12,Datos!J12+Datos!Z12)," - ")</f>
        <v xml:space="preserve"> - </v>
      </c>
      <c r="F12" s="453" t="str">
        <f>IF(ISNUMBER(E12/B12),E12/B12," - ")</f>
        <v xml:space="preserve"> - </v>
      </c>
      <c r="G12" s="452" t="str">
        <f>IF(ISNUMBER(IF(J_V="SI",Datos!K12,Datos!K12+Datos!AA12)),IF(J_V="SI",Datos!K12,Datos!K12+Datos!AA12)," - ")</f>
        <v xml:space="preserve"> - </v>
      </c>
      <c r="H12" s="453" t="str">
        <f>IF(ISNUMBER(G12/B12),G12/B12," - ")</f>
        <v xml:space="preserve"> - </v>
      </c>
      <c r="I12" s="452" t="str">
        <f>IF(ISNUMBER(IF(J_V="SI",Datos!L12,Datos!L12+Datos!AB12)),IF(J_V="SI",Datos!L12,Datos!L12+Datos!AB12)," - ")</f>
        <v xml:space="preserve"> - </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9</v>
      </c>
      <c r="C14" s="1149">
        <f>SUBTOTAL(9,C8:C13)</f>
        <v>10755</v>
      </c>
      <c r="D14" s="1150" t="str">
        <f>IF(ISNUMBER(C14/Datos!BI14),C14/Datos!BI14," - ")</f>
        <v xml:space="preserve"> - </v>
      </c>
      <c r="E14" s="1149">
        <f>SUBTOTAL(9,E8:E13)</f>
        <v>14496</v>
      </c>
      <c r="F14" s="1150">
        <f>IF(ISNUMBER(E14/B14),E14/B14," - ")</f>
        <v>1610.6666666666667</v>
      </c>
      <c r="G14" s="1149">
        <f>SUBTOTAL(9,G8:G13)</f>
        <v>13831</v>
      </c>
      <c r="H14" s="1150">
        <f>IF(ISNUMBER(G14/B14),G14/B14," - ")</f>
        <v>1536.7777777777778</v>
      </c>
      <c r="I14" s="1149">
        <f>SUBTOTAL(9,I8:I13)</f>
        <v>11462</v>
      </c>
      <c r="J14" s="1150">
        <f>IF(ISNUMBER(I14/B14),I14/B14," - ")</f>
        <v>1273.5555555555557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5</v>
      </c>
      <c r="C16" s="452">
        <f>IF(ISNUMBER(IF(D_I="SI",Datos!I16,Datos!I16+Datos!AC16)),IF(D_I="SI",Datos!I16,Datos!I16+Datos!AC16)," - ")</f>
        <v>3391</v>
      </c>
      <c r="D16" s="453">
        <f>IF(ISNUMBER(C16/Datos!BH16),C16/Datos!BH16," - ")</f>
        <v>678.2</v>
      </c>
      <c r="E16" s="452">
        <f>IF(ISNUMBER(IF(D_I="SI",Datos!J16,Datos!J16+Datos!AD16)),IF(D_I="SI",Datos!J16,Datos!J16+Datos!AD16)," - ")</f>
        <v>20381</v>
      </c>
      <c r="F16" s="453">
        <f>IF(ISNUMBER(E16/B16),E16/B16," - ")</f>
        <v>4076.2</v>
      </c>
      <c r="G16" s="452">
        <f>IF(ISNUMBER(IF(D_I="SI",Datos!K16,Datos!K16+Datos!AE16)),IF(D_I="SI",Datos!K16,Datos!K16+Datos!AE16)," - ")</f>
        <v>20835</v>
      </c>
      <c r="H16" s="453">
        <f>IF(ISNUMBER(G16/B16),G16/B16," - ")</f>
        <v>4167</v>
      </c>
      <c r="I16" s="452">
        <f>IF(ISNUMBER(IF(D_I="SI",Datos!L16,Datos!L16+Datos!AF16)),IF(D_I="SI",Datos!L16,Datos!L16+Datos!AF16)," - ")</f>
        <v>2943</v>
      </c>
      <c r="J16" s="453">
        <f>IF(ISNUMBER(I16/B16),I16/B16," - ")</f>
        <v>588.6</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544</v>
      </c>
      <c r="D18" s="453">
        <f>IF(ISNUMBER(C18/Datos!BH18),C18/Datos!BH18," - ")</f>
        <v>544</v>
      </c>
      <c r="E18" s="452">
        <f>IF(ISNUMBER(IF(D_I="SI",Datos!J18,Datos!J18+Datos!AD18)),IF(D_I="SI",Datos!J18,Datos!J18+Datos!AD18)," - ")</f>
        <v>1716</v>
      </c>
      <c r="F18" s="453">
        <f>IF(ISNUMBER(E18/B18),E18/B18," - ")</f>
        <v>1716</v>
      </c>
      <c r="G18" s="452">
        <f>IF(ISNUMBER(IF(D_I="SI",Datos!K18,Datos!K18+Datos!AE18)),IF(D_I="SI",Datos!K18,Datos!K18+Datos!AE18)," - ")</f>
        <v>1859</v>
      </c>
      <c r="H18" s="453">
        <f>IF(ISNUMBER(G18/B18),G18/B18," - ")</f>
        <v>1859</v>
      </c>
      <c r="I18" s="452">
        <f>IF(ISNUMBER(IF(D_I="SI",Datos!L18,Datos!L18+Datos!AF18)),IF(D_I="SI",Datos!L18,Datos!L18+Datos!AF18)," - ")</f>
        <v>405</v>
      </c>
      <c r="J18" s="453">
        <f>IF(ISNUMBER(I18/B18),I18/B18," - ")</f>
        <v>405</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6</v>
      </c>
      <c r="C23" s="1149">
        <f>SUBTOTAL(9,C15:C22)</f>
        <v>3935</v>
      </c>
      <c r="D23" s="1150" t="str">
        <f>IF(ISNUMBER(C23/Datos!BI23),C23/Datos!BI23," - ")</f>
        <v xml:space="preserve"> - </v>
      </c>
      <c r="E23" s="1149">
        <f>SUBTOTAL(9,E15:E22)</f>
        <v>22097</v>
      </c>
      <c r="F23" s="1150">
        <f>IF(ISNUMBER(E23/B23),E23/B23," - ")</f>
        <v>3682.8333333333335</v>
      </c>
      <c r="G23" s="1149">
        <f>SUBTOTAL(9,G15:G22)</f>
        <v>22694</v>
      </c>
      <c r="H23" s="1150">
        <f>IF(ISNUMBER(G23/B23),G23/B23," - ")</f>
        <v>3782.3333333333335</v>
      </c>
      <c r="I23" s="1149">
        <f>SUBTOTAL(9,I15:I22)</f>
        <v>3348</v>
      </c>
      <c r="J23" s="1150">
        <f>IF(ISNUMBER(I23/B23),I23/B23," - ")</f>
        <v>558</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14</v>
      </c>
      <c r="C31" s="1087">
        <f>SUBTOTAL(9,C9:C30)</f>
        <v>14690</v>
      </c>
      <c r="D31" s="1088" t="str">
        <f>IF(ISNUMBER(C31/Datos!BI31),C31/Datos!BI31," - ")</f>
        <v xml:space="preserve"> - </v>
      </c>
      <c r="E31" s="1087">
        <f>SUBTOTAL(9,E9:E30)</f>
        <v>36593</v>
      </c>
      <c r="F31" s="1088">
        <f>IF(ISNUMBER(E31/B31),E31/B31," - ")</f>
        <v>2613.7857142857142</v>
      </c>
      <c r="G31" s="1087">
        <f>SUBTOTAL(9,G9:G30)</f>
        <v>36525</v>
      </c>
      <c r="H31" s="1088">
        <f>IF(ISNUMBER(G31/B31),G31/B31," - ")</f>
        <v>2608.9285714285716</v>
      </c>
      <c r="I31" s="1087">
        <f>SUBTOTAL(9,I9:I30)</f>
        <v>14810</v>
      </c>
      <c r="J31" s="1088">
        <f>IF(ISNUMBER(I31/B31),I31/B31," - ")</f>
        <v>1057.8571428571429</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V28CLSsV9kmWGwc88FvMlBBmCUtRyMDo4nLk7dgFgvsmAQji2kOPACFbGh2ETDbkaCXPkU+lBOx2XCEn34vW4w==" saltValue="fwhCqBWa96skD858iizd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L'HOSPITALET DE LLOBREGAT</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8</v>
      </c>
      <c r="B9" s="749" t="s">
        <v>324</v>
      </c>
      <c r="C9" s="770" t="str">
        <f>Datos!A9</f>
        <v xml:space="preserve">Jdos. 1ª Instancia   </v>
      </c>
      <c r="D9" s="597"/>
      <c r="E9" s="907">
        <f>IF(ISNUMBER(Datos!AQ9),Datos!AQ9," - ")</f>
        <v>8</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1</v>
      </c>
      <c r="F10" s="908">
        <f>IF(ISNUMBER(Datos!L10+Datos!K10-Datos!J10),Datos!L10+Datos!K10-Datos!J10," - ")</f>
        <v>127</v>
      </c>
      <c r="G10" s="909">
        <f>IF(ISNUMBER(Datos!I10),Datos!I10," - ")</f>
        <v>127</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34</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141</v>
      </c>
      <c r="AC10" s="908" t="str">
        <f>IF(ISNUMBER(IF(D_I="SI",DatosP!K18,DatosP!K18+DatosP!AE18)),IF(D_I="SI",DatosP!K18,DatosP!K18+DatosP!AE18)," - ")</f>
        <v xml:space="preserve"> - </v>
      </c>
      <c r="AD10" s="910"/>
      <c r="AE10" s="910"/>
      <c r="AF10" s="913">
        <f>IF(ISNUMBER(Datos!L10),Datos!L10,"-")</f>
        <v>142</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53</v>
      </c>
      <c r="AM10" s="917">
        <f>IF(ISNUMBER(Datos!N10+DatosP!N18),Datos!N10+DatosP!N18," - ")</f>
        <v>1</v>
      </c>
      <c r="AN10" s="917">
        <f>IF(ISNUMBER(Datos!BW10+DatosP!BW18),Datos!BW10+DatosP!BW18," - ")</f>
        <v>0</v>
      </c>
      <c r="AO10" s="918">
        <f>IF(ISNUMBER(Datos!BX10+DatosP!BX18),Datos!BX10+DatosP!BX18," - ")</f>
        <v>0</v>
      </c>
      <c r="AP10" s="920">
        <f>IF(ISNUMBER(((Datos!L10/Datos!K10)*11)/factor_trimestre),((Datos!L10/Datos!K10)*11)/factor_trimestre," - ")</f>
        <v>11.078014184397162</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t="str">
        <f>IF(ISNUMBER(Datos!Q12),Datos!Q12," - ")</f>
        <v xml:space="preserve"> - </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t="str">
        <f>IF(ISNUMBER(Datos!R12),Datos!R12," - ")</f>
        <v xml:space="preserve"> - </v>
      </c>
      <c r="AI12" s="914" t="str">
        <f>IF(ISNUMBER(DatosP!R17),DatosP!R17," - ")</f>
        <v xml:space="preserve"> - </v>
      </c>
      <c r="AJ12" s="907">
        <f>IF(ISNUMBER(Datos!BV12+DatosP!BV17),Datos!BV12+DatosP!BV17," - ")</f>
        <v>0</v>
      </c>
      <c r="AK12" s="915" t="str">
        <f>IF(ISNUMBER(Datos!DV12),Datos!DV12," - ")</f>
        <v xml:space="preserve"> - </v>
      </c>
      <c r="AL12" s="908" t="str">
        <f>IF(ISNUMBER(Datos!M12+DatosP!M17),Datos!M12+DatosP!M17," - ")</f>
        <v xml:space="preserve"> - </v>
      </c>
      <c r="AM12" s="917" t="str">
        <f>IF(ISNUMBER(Datos!N12+DatosP!N17),Datos!N12+DatosP!N17," - ")</f>
        <v xml:space="preserve"> - </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t="str">
        <f>IF(ISNUMBER((Datos!P12-Datos!Q12+Datos!DE12)/(Datos!R12-Datos!P12+Datos!Q12-Datos!DE12)),(Datos!P12-Datos!Q12+Datos!DE12)/(Datos!R12-Datos!P12+Datos!Q12-Datos!DE12)," - ")</f>
        <v xml:space="preserve"> - </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9</v>
      </c>
      <c r="F14" s="1261">
        <f t="shared" si="0"/>
        <v>127</v>
      </c>
      <c r="G14" s="1261">
        <f t="shared" si="0"/>
        <v>127</v>
      </c>
      <c r="H14" s="1261">
        <f t="shared" si="0"/>
        <v>0</v>
      </c>
      <c r="I14" s="1263">
        <f t="shared" si="0"/>
        <v>0</v>
      </c>
      <c r="J14" s="1262">
        <f t="shared" si="0"/>
        <v>0</v>
      </c>
      <c r="K14" s="1262">
        <f t="shared" si="0"/>
        <v>0</v>
      </c>
      <c r="L14" s="1264">
        <f t="shared" si="0"/>
        <v>0</v>
      </c>
      <c r="M14" s="1264">
        <f t="shared" si="0"/>
        <v>0</v>
      </c>
      <c r="N14" s="1262">
        <f t="shared" si="0"/>
        <v>34</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141</v>
      </c>
      <c r="AC14" s="1262">
        <f t="shared" si="1"/>
        <v>0</v>
      </c>
      <c r="AD14" s="1262">
        <f t="shared" si="1"/>
        <v>0</v>
      </c>
      <c r="AE14" s="1262">
        <f t="shared" si="1"/>
        <v>0</v>
      </c>
      <c r="AF14" s="1262">
        <f t="shared" si="1"/>
        <v>142</v>
      </c>
      <c r="AG14" s="1262">
        <f t="shared" si="1"/>
        <v>0</v>
      </c>
      <c r="AH14" s="1262">
        <f t="shared" si="1"/>
        <v>0</v>
      </c>
      <c r="AI14" s="1262">
        <f t="shared" si="1"/>
        <v>0</v>
      </c>
      <c r="AJ14" s="1262">
        <f t="shared" si="1"/>
        <v>0</v>
      </c>
      <c r="AK14" s="1262">
        <f t="shared" si="1"/>
        <v>0</v>
      </c>
      <c r="AL14" s="1262">
        <f t="shared" si="1"/>
        <v>53</v>
      </c>
      <c r="AM14" s="1262">
        <f t="shared" si="1"/>
        <v>1</v>
      </c>
      <c r="AN14" s="1262">
        <f t="shared" si="1"/>
        <v>0</v>
      </c>
      <c r="AO14" s="1262">
        <f t="shared" si="1"/>
        <v>0</v>
      </c>
      <c r="AP14" s="1267">
        <f>IF(ISNUMBER(((Datos!L14/Datos!K14)*11)/factor_trimestre),((Datos!L14/Datos!K14)*11)/factor_trimestre," - ")</f>
        <v>9.7126092777821533</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-1.110236220472441</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5</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1.6228077906054466</v>
      </c>
      <c r="AQ23" s="1267">
        <f>IF(ISNUMBER(((Datos!M23/Datos!L23)*11)/factor_trimestre),((Datos!M23/Datos!L23)*11)/factor_trimestre," - ")</f>
        <v>4.7344683393070488</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-0.2180293501048218</v>
      </c>
      <c r="AW23" s="1270">
        <f>IF(ISNUMBER((Datos!Q23-Datos!R23)/(Datos!S23-Datos!Q23+Datos!R23)),(Datos!Q23-Datos!R23)/(Datos!S23-Datos!Q23+Datos!R23)," - ")</f>
        <v>9.5172413793103441E-2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9</v>
      </c>
      <c r="F31" s="1283">
        <f t="shared" si="8"/>
        <v>127</v>
      </c>
      <c r="G31" s="1283">
        <f t="shared" si="8"/>
        <v>127</v>
      </c>
      <c r="H31" s="1283">
        <f t="shared" si="8"/>
        <v>0</v>
      </c>
      <c r="I31" s="1284">
        <f t="shared" si="8"/>
        <v>0</v>
      </c>
      <c r="J31" s="1285">
        <f t="shared" si="8"/>
        <v>0</v>
      </c>
      <c r="K31" s="1285">
        <f t="shared" si="8"/>
        <v>0</v>
      </c>
      <c r="L31" s="1285">
        <f t="shared" si="8"/>
        <v>0</v>
      </c>
      <c r="M31" s="1285">
        <f t="shared" si="8"/>
        <v>0</v>
      </c>
      <c r="N31" s="1284">
        <f t="shared" si="8"/>
        <v>34</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141</v>
      </c>
      <c r="AC31" s="1289">
        <f t="shared" si="9"/>
        <v>0</v>
      </c>
      <c r="AD31" s="1289">
        <f t="shared" si="9"/>
        <v>0</v>
      </c>
      <c r="AE31" s="1289">
        <f t="shared" si="9"/>
        <v>0</v>
      </c>
      <c r="AF31" s="1290">
        <f t="shared" si="9"/>
        <v>142</v>
      </c>
      <c r="AG31" s="1290">
        <f t="shared" si="9"/>
        <v>0</v>
      </c>
      <c r="AH31" s="1290">
        <f t="shared" si="9"/>
        <v>0</v>
      </c>
      <c r="AI31" s="1290">
        <f t="shared" si="9"/>
        <v>0</v>
      </c>
      <c r="AJ31" s="1291">
        <f t="shared" si="9"/>
        <v>0</v>
      </c>
      <c r="AK31" s="1291">
        <f t="shared" si="9"/>
        <v>0</v>
      </c>
      <c r="AL31" s="1283">
        <f t="shared" si="9"/>
        <v>53</v>
      </c>
      <c r="AM31" s="1283">
        <f t="shared" si="9"/>
        <v>1</v>
      </c>
      <c r="AN31" s="1283">
        <f t="shared" si="9"/>
        <v>0</v>
      </c>
      <c r="AO31" s="1283">
        <f t="shared" si="9"/>
        <v>0</v>
      </c>
      <c r="AP31" s="1283">
        <f>IF(ISNUMBER(((Datos!L31/Datos!K31)*11)/factor_trimestre),((Datos!L31/Datos!K31)*11)/factor_trimestre," - ")</f>
        <v>4.5251335085191151</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-1.110236220472441</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-6.8439524838012952E-2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50.8</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3.7080992435478315</v>
      </c>
      <c r="F33" s="1009">
        <f>IF(ISNUMBER(STDEV(F8:F30)),STDEV(F8:F30),"-")</f>
        <v>69.56076480315609</v>
      </c>
      <c r="G33" s="1010">
        <f>IF(ISNUMBER(STDEV(G8:G30)),STDEV(G8:G30),"-")</f>
        <v>69.56076480315609</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77.228880608228422</v>
      </c>
      <c r="AC33" s="1011">
        <f>IF(ISNUMBER(STDEV(AC8:AC30)),STDEV(AC8:AC30),"-")</f>
        <v>0</v>
      </c>
      <c r="AD33" s="1014"/>
      <c r="AE33" s="1014"/>
      <c r="AF33" s="1014"/>
      <c r="AG33" s="1014"/>
      <c r="AH33" s="1014"/>
      <c r="AI33" s="1014"/>
      <c r="AJ33" s="1015">
        <f>IF(ISNUMBER(STDEV(AJ8:AJ30)),STDEV(AJ8:AJ30),"-")</f>
        <v>0</v>
      </c>
      <c r="AK33" s="1017"/>
      <c r="AL33" s="1009">
        <f>IF(ISNUMBER(STDEV(AL8:AL30)),STDEV(AL8:AL30),"-")</f>
        <v>29.029295547773806</v>
      </c>
      <c r="AM33" s="1009"/>
      <c r="AN33" s="1009">
        <f>IF(ISNUMBER(STDEV(AN8:AN30)),STDEV(AN8:AN30),"-")</f>
        <v>0</v>
      </c>
      <c r="AO33" s="1015">
        <f>IF(ISNUMBER(STDEV(AO8:AO30)),STDEV(AO8:AO30),"-")</f>
        <v>0</v>
      </c>
      <c r="AP33" s="1068">
        <f>IF(ISNUMBER(STDEV(AP8:AP30)),STDEV(AP8:AP30),"-")</f>
        <v>5.1106122694209306</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yVpwKRxfjEZ13Tr/ox5fy7Z6SM4+Otu4PUQ4fegY64mHnar2uxLnYioiyEO0ivKiyctTVC3ho1MIiWcClEPz7w==" saltValue="KgXbIYmBg2P9BKQCRKTJjQ=="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L'HOSPITALET DE LLOBREGAT</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8</v>
      </c>
      <c r="D9" s="452">
        <f>Datos!BK9</f>
        <v>0</v>
      </c>
      <c r="E9" s="452">
        <f>Datos!AQ9</f>
        <v>8</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5</v>
      </c>
      <c r="D16" s="452">
        <f>Datos!BK16</f>
        <v>0</v>
      </c>
      <c r="E16" s="452">
        <f>Datos!AQ16</f>
        <v>5</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hCL6+nFOYtQpSwgh8X4QDfbwOf8IbM6KP5uPLuYOMGfZCz1OkUCuJQksMJTZDPWD4A/jQLmArxPcMmWc54LfiA==" saltValue="YlQnLObmyJu7GBL/UGLn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L'HOSPITALET DE LLOBREGAT</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8</v>
      </c>
      <c r="C9" s="459">
        <f>Datos!AQ9</f>
        <v>8</v>
      </c>
      <c r="D9" s="452">
        <f>IF(ISNUMBER(Datos!M9),Datos!M9," - ")</f>
        <v>3268</v>
      </c>
      <c r="E9" s="453">
        <f t="shared" ref="E9:E14" si="0">IF(ISNUMBER(D9/B9),D9/B9," - ")</f>
        <v>408.5</v>
      </c>
      <c r="F9" s="452">
        <f>IF(ISNUMBER(Datos!N9),Datos!N9," - ")</f>
        <v>6187</v>
      </c>
      <c r="G9" s="453">
        <f t="shared" ref="G9:G14" si="1">IF(ISNUMBER(F9/B9),F9/B9," - ")</f>
        <v>773.375</v>
      </c>
      <c r="H9" s="452">
        <f>IF(ISNUMBER(Datos!O9),Datos!O9," - ")</f>
        <v>5291</v>
      </c>
      <c r="I9" s="453">
        <f>IF(ISNUMBER(H9/B9),H9/B9," - ")</f>
        <v>661.375</v>
      </c>
    </row>
    <row r="10" spans="1:9">
      <c r="A10" s="451" t="str">
        <f>Datos!A10</f>
        <v>Jdos. Violencia contra la mujer</v>
      </c>
      <c r="B10" s="481">
        <f>Datos!AO10</f>
        <v>1</v>
      </c>
      <c r="C10" s="459">
        <f>Datos!AQ10</f>
        <v>1</v>
      </c>
      <c r="D10" s="452">
        <f>IF(ISNUMBER(Datos!M10),Datos!M10," - ")</f>
        <v>53</v>
      </c>
      <c r="E10" s="453">
        <f>IF(ISNUMBER(D10/B10),D10/B10," - ")</f>
        <v>53</v>
      </c>
      <c r="F10" s="452">
        <f>IF(ISNUMBER(Datos!N10),Datos!N10," - ")</f>
        <v>1</v>
      </c>
      <c r="G10" s="453">
        <f>IF(ISNUMBER(F10/B10),F10/B10," - ")</f>
        <v>1</v>
      </c>
      <c r="H10" s="452">
        <f>IF(ISNUMBER(Datos!O10),Datos!O10," - ")</f>
        <v>2</v>
      </c>
      <c r="I10" s="453">
        <f t="shared" ref="I10:I13" si="2">IF(ISNUMBER(H10/B10),H10/B10," - ")</f>
        <v>2</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t="str">
        <f>IF(ISNUMBER(Datos!M12),Datos!M12," - ")</f>
        <v xml:space="preserve"> - </v>
      </c>
      <c r="E12" s="453" t="str">
        <f t="shared" si="0"/>
        <v xml:space="preserve"> - </v>
      </c>
      <c r="F12" s="452" t="str">
        <f>IF(ISNUMBER(Datos!N12),Datos!N12," - ")</f>
        <v xml:space="preserve"> - </v>
      </c>
      <c r="G12" s="453" t="str">
        <f t="shared" si="1"/>
        <v xml:space="preserve"> - </v>
      </c>
      <c r="H12" s="452" t="str">
        <f>IF(ISNUMBER(Datos!O12),Datos!O12," - ")</f>
        <v xml:space="preserve"> - </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9</v>
      </c>
      <c r="C14" s="1151">
        <f>Datos!AR14</f>
        <v>9</v>
      </c>
      <c r="D14" s="1149">
        <f>SUBTOTAL(9,D9:D13)</f>
        <v>3321</v>
      </c>
      <c r="E14" s="1150">
        <f t="shared" si="0"/>
        <v>369</v>
      </c>
      <c r="F14" s="1149">
        <f>SUBTOTAL(9,F9:F13)</f>
        <v>6188</v>
      </c>
      <c r="G14" s="1150">
        <f t="shared" si="1"/>
        <v>687.55555555555554</v>
      </c>
      <c r="H14" s="1149">
        <f>SUBTOTAL(9,H9:H13)</f>
        <v>5293</v>
      </c>
      <c r="I14" s="1150">
        <f>IF(ISNUMBER(H14/B14),H14/B14," - ")</f>
        <v>588.11111111111109</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5</v>
      </c>
      <c r="C16" s="482">
        <f>Datos!AQ16</f>
        <v>5</v>
      </c>
      <c r="D16" s="452">
        <f>IF(ISNUMBER(Datos!M16),Datos!M16," - ")</f>
        <v>1416</v>
      </c>
      <c r="E16" s="453">
        <f t="shared" ref="E16:E23" si="3">IF(ISNUMBER(D16/B16),D16/B16," - ")</f>
        <v>283.2</v>
      </c>
      <c r="F16" s="452">
        <f>IF(ISNUMBER(Datos!N16),Datos!N16," - ")</f>
        <v>14969</v>
      </c>
      <c r="G16" s="453">
        <f t="shared" ref="G16:G23" si="4">IF(ISNUMBER(F16/B16),F16/B16," - ")</f>
        <v>2993.8</v>
      </c>
      <c r="H16" s="452">
        <f>IF(ISNUMBER(Datos!O16),Datos!O16," - ")</f>
        <v>295</v>
      </c>
      <c r="I16" s="453">
        <f t="shared" ref="I16:I22" si="5">IF(ISNUMBER(H16/B16),H16/B16," - ")</f>
        <v>59</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1</v>
      </c>
      <c r="C18" s="482">
        <f>Datos!AQ18</f>
        <v>1</v>
      </c>
      <c r="D18" s="452">
        <f>IF(ISNUMBER(Datos!M18),Datos!M18," - ")</f>
        <v>25</v>
      </c>
      <c r="E18" s="453">
        <f>IF(ISNUMBER(D18/B18),D18/B18," - ")</f>
        <v>25</v>
      </c>
      <c r="F18" s="452">
        <f>IF(ISNUMBER(Datos!N18),Datos!N18," - ")</f>
        <v>1083</v>
      </c>
      <c r="G18" s="453">
        <f>IF(ISNUMBER(F18/B18),F18/B18," - ")</f>
        <v>1083</v>
      </c>
      <c r="H18" s="452">
        <f>IF(ISNUMBER(Datos!O18),Datos!O18," - ")</f>
        <v>1</v>
      </c>
      <c r="I18" s="453">
        <f t="shared" si="5"/>
        <v>1</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6</v>
      </c>
      <c r="C23" s="1151">
        <f>Datos!AR23</f>
        <v>6</v>
      </c>
      <c r="D23" s="1149">
        <f>SUBTOTAL(9,D16:D22)</f>
        <v>1441</v>
      </c>
      <c r="E23" s="1150">
        <f t="shared" si="3"/>
        <v>240.16666666666666</v>
      </c>
      <c r="F23" s="1149">
        <f>SUBTOTAL(9,F16:F22)</f>
        <v>16052</v>
      </c>
      <c r="G23" s="1150">
        <f t="shared" si="4"/>
        <v>2675.3333333333335</v>
      </c>
      <c r="H23" s="1149">
        <f>SUBTOTAL(9,H16:H22)</f>
        <v>296</v>
      </c>
      <c r="I23" s="1150">
        <f>IF(ISNUMBER(H23/B23),H23/B23," - ")</f>
        <v>49.333333333333336</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14</v>
      </c>
      <c r="C31" s="1087">
        <f>Datos!AR31</f>
        <v>14</v>
      </c>
      <c r="D31" s="1087">
        <f>SUBTOTAL(9,D8:D30)</f>
        <v>4762</v>
      </c>
      <c r="E31" s="1088">
        <f>IF(ISNUMBER(D31/B31),D31/B31," - ")</f>
        <v>340.14285714285717</v>
      </c>
      <c r="F31" s="1087">
        <f>SUBTOTAL(9,F8:F30)</f>
        <v>22240</v>
      </c>
      <c r="G31" s="1088">
        <f>IF(ISNUMBER(F31/B31),F31/B31," - ")</f>
        <v>1588.5714285714287</v>
      </c>
      <c r="H31" s="1087">
        <f>SUBTOTAL(9,H8:H30)</f>
        <v>5589</v>
      </c>
      <c r="I31" s="1088">
        <f>IF(ISNUMBER(H31/B31),H31/B31," - ")</f>
        <v>399.21428571428572</v>
      </c>
    </row>
    <row r="34" spans="1:1">
      <c r="A34" s="440" t="str">
        <f>Criterios!A4</f>
        <v>Fecha Informe: 05 abr. 2022</v>
      </c>
    </row>
    <row r="39" spans="1:1">
      <c r="A39" s="463"/>
    </row>
  </sheetData>
  <sheetProtection algorithmName="SHA-512" hashValue="I6T8lBUDMxzi15+04uNAoy9U5TotIXlNxjtHOprvjKHLJOi0frakuICAfp6VIB0vgFXxGcSq19ZKCZuM3gVUkQ==" saltValue="012DSROFr64q0MrxoNo+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L'HOSPITALET DE LLOBREGAT</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3009</v>
      </c>
      <c r="C9" s="490">
        <f>IF(ISNUMBER(Datos!Q9),Datos!Q9," - ")</f>
        <v>3935</v>
      </c>
      <c r="D9" s="457">
        <f>IF(ISNUMBER(Datos!R9),Datos!R9," - ")</f>
        <v>13314</v>
      </c>
    </row>
    <row r="10" spans="1:4">
      <c r="A10" s="451" t="str">
        <f>Datos!A10</f>
        <v>Jdos. Violencia contra la mujer</v>
      </c>
      <c r="B10" s="489">
        <f>IF(ISNUMBER(Datos!P10),Datos!P10," - ")</f>
        <v>34</v>
      </c>
      <c r="C10" s="490">
        <f>IF(ISNUMBER(Datos!Q10),Datos!Q10," - ")</f>
        <v>18</v>
      </c>
      <c r="D10" s="457">
        <f>IF(ISNUMBER(Datos!R10),Datos!R10," - ")</f>
        <v>115</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t="str">
        <f>IF(ISNUMBER(Datos!P12),Datos!P12," - ")</f>
        <v xml:space="preserve"> - </v>
      </c>
      <c r="C12" s="490" t="str">
        <f>IF(ISNUMBER(Datos!Q12),Datos!Q12," - ")</f>
        <v xml:space="preserve"> - </v>
      </c>
      <c r="D12" s="457" t="str">
        <f>IF(ISNUMBER(Datos!R12),Datos!R12," - ")</f>
        <v xml:space="preserve"> - </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3043</v>
      </c>
      <c r="C14" s="1153">
        <f>SUBTOTAL(9,C9:C13)</f>
        <v>3953</v>
      </c>
      <c r="D14" s="1151">
        <f>SUBTOTAL(9,D9:D13)</f>
        <v>13429</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539</v>
      </c>
      <c r="C16" s="490">
        <f>IF(ISNUMBER(Datos!Q16),Datos!Q16," - ")</f>
        <v>639</v>
      </c>
      <c r="D16" s="457">
        <f>IF(ISNUMBER(Datos!R16),Datos!R16," - ")</f>
        <v>368</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6</v>
      </c>
      <c r="C18" s="490">
        <f>IF(ISNUMBER(Datos!Q18),Datos!Q18," - ")</f>
        <v>10</v>
      </c>
      <c r="D18" s="457">
        <f>IF(ISNUMBER(Datos!R18),Datos!R18," - ")</f>
        <v>5</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545</v>
      </c>
      <c r="C23" s="1153">
        <f>SUBTOTAL(9,C16:C22)</f>
        <v>649</v>
      </c>
      <c r="D23" s="1151">
        <f>SUBTOTAL(9,D16:D22)</f>
        <v>373</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3588</v>
      </c>
      <c r="C31" s="1092">
        <f>SUBTOTAL(9,C8:C30)</f>
        <v>4602</v>
      </c>
      <c r="D31" s="1093">
        <f>SUBTOTAL(9,D8:D30)</f>
        <v>13802</v>
      </c>
    </row>
    <row r="32" spans="1:4" ht="7.5" customHeight="1"/>
    <row r="33" spans="1:1" ht="6" customHeight="1"/>
    <row r="34" spans="1:1">
      <c r="A34" s="440" t="str">
        <f>Criterios!A4</f>
        <v>Fecha Informe: 05 abr. 2022</v>
      </c>
    </row>
    <row r="39" spans="1:1">
      <c r="A39" s="463"/>
    </row>
  </sheetData>
  <sheetProtection algorithmName="SHA-512" hashValue="Kt0gbDp35Lhm0wDy2EHh6C+oF0HeIa4Xt+zrN5sHKA/9eiY+o3CTk7xXmu+hYA6rkK2lio6NTmIY1yV7Z8RX8Q==" saltValue="klwpKLmnudsyTH1iAdTg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L'HOSPITALET DE LLOBREGAT</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2.1333845858158753E-2</v>
      </c>
      <c r="C9" s="516">
        <f>IF(ISNUMBER(
   IF(J_V="SI",(Datos!J9-Datos!T9)/Datos!T9,(Datos!J9+Datos!Z9-(Datos!T9+Datos!AH9))/(Datos!T9+Datos!AH9))
     ),IF(J_V="SI",(Datos!J9-Datos!T9)/Datos!T9,(Datos!J9+Datos!Z9-(Datos!T9+Datos!AH9))/(Datos!T9+Datos!AH9))," - ")</f>
        <v>0.37937668333974606</v>
      </c>
      <c r="D9" s="516">
        <f>IF(ISNUMBER(
   IF(J_V="SI",(Datos!K9-Datos!U9)/Datos!U9,(Datos!K9+Datos!AA9-(Datos!U9+Datos!AI9))/(Datos!U9+Datos!AI9))
     ),IF(J_V="SI",(Datos!K9-Datos!U9)/Datos!U9,(Datos!K9+Datos!AA9-(Datos!U9+Datos!AI9))/(Datos!U9+Datos!AI9))," - ")</f>
        <v>0.34005481597494125</v>
      </c>
      <c r="E9" s="516">
        <f>IF(ISNUMBER(
   IF(J_V="SI",(Datos!L9-Datos!V9)/Datos!V9,(Datos!L9+Datos!AB9-(Datos!V9+Datos!AJ9))/(Datos!V9+Datos!AJ9))
     ),IF(J_V="SI",(Datos!L9-Datos!V9)/Datos!V9,(Datos!L9+Datos!AB9-(Datos!V9+Datos!AJ9))/(Datos!V9+Datos!AJ9))," - ")</f>
        <v>6.5111027474595407E-2</v>
      </c>
      <c r="F9" s="516">
        <f>IF(ISNUMBER((Datos!M9-Datos!W9)/Datos!W9),(Datos!M9-Datos!W9)/Datos!W9," - ")</f>
        <v>0.31774193548387097</v>
      </c>
      <c r="G9" s="517">
        <f>IF(ISNUMBER((Datos!N9-Datos!X9)/Datos!X9),(Datos!N9-Datos!X9)/Datos!X9," - ")</f>
        <v>0.3991406603346902</v>
      </c>
      <c r="H9" s="515">
        <f>IF(ISNUMBER(((NºAsuntos!G9/NºAsuntos!E9)-Datos!BD9)/Datos!BD9),((NºAsuntos!G9/NºAsuntos!E9)-Datos!BD9)/Datos!BD9," - ")</f>
        <v>-2.8506982784136079E-2</v>
      </c>
      <c r="I9" s="516">
        <f>IF(ISNUMBER(((NºAsuntos!I9/NºAsuntos!G9)-Datos!BE9)/Datos!BE9),((NºAsuntos!I9/NºAsuntos!G9)-Datos!BE9)/Datos!BE9," - ")</f>
        <v>-0.2051735385916387</v>
      </c>
      <c r="J9" s="522">
        <f>IF(ISNUMBER((('Resol  Asuntos'!D9/NºAsuntos!G9)-Datos!BF9)/Datos!BF9),(('Resol  Asuntos'!D9/NºAsuntos!G9)-Datos!BF9)/Datos!BF9," - ")</f>
        <v>-0.44850605859077014</v>
      </c>
      <c r="K9" s="523">
        <f>IF(ISNUMBER((((NºAsuntos!C9+NºAsuntos!E9)/NºAsuntos!G9)-Datos!BG9)/Datos!BG9),(((NºAsuntos!C9+NºAsuntos!E9)/NºAsuntos!G9)-Datos!BG9)/Datos!BG9," - ")</f>
        <v>-0.10431335302436576</v>
      </c>
    </row>
    <row r="10" spans="1:11">
      <c r="A10" s="451" t="str">
        <f>Datos!A10</f>
        <v>Jdos. Violencia contra la mujer</v>
      </c>
      <c r="B10" s="515">
        <f>IF(ISNUMBER((Datos!I10-Datos!S10)/Datos!S10),(Datos!I10-Datos!S10)/Datos!S10," - ")</f>
        <v>7.9365079365079361E-3</v>
      </c>
      <c r="C10" s="516">
        <f>IF(ISNUMBER((Datos!J10-Datos!T10)/Datos!T10),(Datos!J10-Datos!T10)/Datos!T10," - ")</f>
        <v>0.18181818181818182</v>
      </c>
      <c r="D10" s="516">
        <f>IF(ISNUMBER((Datos!K10-Datos!U10)/Datos!U10),(Datos!K10-Datos!U10)/Datos!U10," - ")</f>
        <v>7.6335877862595422E-2</v>
      </c>
      <c r="E10" s="516">
        <f>IF(ISNUMBER((Datos!L10-Datos!V10)/Datos!V10),(Datos!L10-Datos!V10)/Datos!V10," - ")</f>
        <v>0.11811023622047244</v>
      </c>
      <c r="F10" s="516">
        <f>IF(ISNUMBER((Datos!M10-Datos!W10)/Datos!W10),(Datos!M10-Datos!W10)/Datos!W10," - ")</f>
        <v>0.47222222222222221</v>
      </c>
      <c r="G10" s="517">
        <f>IF(ISNUMBER((Datos!N10-Datos!X10)/Datos!X10),(Datos!N10-Datos!X10)/Datos!X10," - ")</f>
        <v>-0.9821428571428571</v>
      </c>
      <c r="H10" s="515">
        <f>IF(ISNUMBER(((NºAsuntos!G10/NºAsuntos!E10)-Datos!BD10)/Datos!BD10),((NºAsuntos!G10/NºAsuntos!E10)-Datos!BD10)/Datos!BD10," - ")</f>
        <v>-8.9254257193188483E-2</v>
      </c>
      <c r="I10" s="516">
        <f>IF(ISNUMBER(((NºAsuntos!I10/NºAsuntos!G10)-Datos!BE10)/Datos!BE10),((NºAsuntos!I10/NºAsuntos!G10)-Datos!BE10)/Datos!BE10," - ")</f>
        <v>3.8811637906963709E-2</v>
      </c>
      <c r="J10" s="522">
        <f>IF(ISNUMBER((('Resol  Asuntos'!D10/NºAsuntos!G10)-Datos!BF10)/Datos!BF10),(('Resol  Asuntos'!D10/NºAsuntos!G10)-Datos!BF10)/Datos!BF10," - ")</f>
        <v>0.36780929866036238</v>
      </c>
      <c r="K10" s="523">
        <f>IF(ISNUMBER((((NºAsuntos!C10+NºAsuntos!E10)/NºAsuntos!G10)-Datos!BG10)/Datos!BG10),(((NºAsuntos!C10+NºAsuntos!E10)/NºAsuntos!G10)-Datos!BG10)/Datos!BG10," - ")</f>
        <v>1.9104953543350352E-2</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t="str">
        <f>IF(ISNUMBER(
   IF(J_V="SI",(Datos!I12-Datos!S12)/Datos!S12,(Datos!I12+Datos!Y12-(Datos!S12+Datos!AG12))/(Datos!S12+Datos!AG12))
     ),IF(J_V="SI",(Datos!I12-Datos!S12)/Datos!S12,(Datos!I12+Datos!Y12-(Datos!S12+Datos!AG12))/(Datos!S12+Datos!AG12))," - ")</f>
        <v xml:space="preserve"> - </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t="str">
        <f>IF(ISNUMBER(
   IF(J_V="SI",(Datos!L12-Datos!V12)/Datos!V12,(Datos!L12+Datos!AB12-(Datos!V12+Datos!AJ12))/(Datos!V12+Datos!AJ12))
     ),IF(J_V="SI",(Datos!L12-Datos!V12)/Datos!V12,(Datos!L12+Datos!AB12-(Datos!V12+Datos!AJ12))/(Datos!V12+Datos!AJ12))," - ")</f>
        <v xml:space="preserve"> - </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2.1173566274211925E-2</v>
      </c>
      <c r="C14" s="1155">
        <f>IF(ISNUMBER(
   IF(J_V="SI",(Datos!J14-Datos!T14)/Datos!T14,(Datos!J14+Datos!Z14-(Datos!T14+Datos!AH14))/(Datos!T14+Datos!AH14))
     ),IF(J_V="SI",(Datos!J14-Datos!T14)/Datos!T14,(Datos!J14+Datos!Z14-(Datos!T14+Datos!AH14))/(Datos!T14+Datos!AH14))," - ")</f>
        <v>0.37689969604863222</v>
      </c>
      <c r="D14" s="1155">
        <f>IF(ISNUMBER(
   IF(J_V="SI",(Datos!K14-Datos!U14)/Datos!U14,(Datos!K14+Datos!AA14-(Datos!U14+Datos!AI14))/(Datos!U14+Datos!AI14))
     ),IF(J_V="SI",(Datos!K14-Datos!U14)/Datos!U14,(Datos!K14+Datos!AA14-(Datos!U14+Datos!AI14))/(Datos!U14+Datos!AI14))," - ")</f>
        <v>0.33671595631584034</v>
      </c>
      <c r="E14" s="1155">
        <f>IF(ISNUMBER(
   IF(J_V="SI",(Datos!L14-Datos!V14)/Datos!V14,(Datos!L14+Datos!AB14-(Datos!V14+Datos!AJ14))/(Datos!V14+Datos!AJ14))
     ),IF(J_V="SI",(Datos!L14-Datos!V14)/Datos!V14,(Datos!L14+Datos!AB14-(Datos!V14+Datos!AJ14))/(Datos!V14+Datos!AJ14))," - ")</f>
        <v>6.5736866573686659E-2</v>
      </c>
      <c r="F14" s="1156">
        <f>IF(ISNUMBER((Datos!M14-Datos!W14)/Datos!W14),(Datos!M14-Datos!W14)/Datos!W14," - ")</f>
        <v>0.31995230524642287</v>
      </c>
      <c r="G14" s="1157">
        <f>IF(ISNUMBER((Datos!N14-Datos!X14)/Datos!X14),(Datos!N14-Datos!X14)/Datos!X14," - ")</f>
        <v>0.38186690486824476</v>
      </c>
      <c r="H14" s="1157">
        <f>IF(ISNUMBER(((NºAsuntos!G14/NºAsuntos!E14)-Datos!BD14)/Datos!BD14),((NºAsuntos!G14/NºAsuntos!E14)-Datos!BD14)/Datos!BD14," - ")</f>
        <v>-2.9184217156928361E-2</v>
      </c>
      <c r="I14" s="1157">
        <f>IF(ISNUMBER(((NºAsuntos!I14/NºAsuntos!G14)-Datos!BE14)/Datos!BE14),((NºAsuntos!I14/NºAsuntos!G14)-Datos!BE14)/Datos!BE14," - ")</f>
        <v>-0.20272002324937197</v>
      </c>
      <c r="J14" s="1157">
        <f>IF(ISNUMBER((('Resol  Asuntos'!D14/NºAsuntos!G14)-Datos!BF14)/Datos!BF14),(('Resol  Asuntos'!D14/NºAsuntos!G14)-Datos!BF14)/Datos!BF14," - ")</f>
        <v>-0.44269918365643018</v>
      </c>
      <c r="K14" s="1157">
        <f>IF(ISNUMBER((((NºAsuntos!C14+NºAsuntos!E14)/NºAsuntos!G14)-Datos!BG14)/Datos!BG14),(((NºAsuntos!C14+NºAsuntos!E14)/NºAsuntos!G14)-Datos!BG14)/Datos!BG14," - ")</f>
        <v>-0.10302346333363611</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0.18857343147563968</v>
      </c>
      <c r="C16" s="516">
        <f>IF(ISNUMBER(
   IF(D_I="SI",(Datos!J16-Datos!T16)/Datos!T16,(Datos!J16+Datos!AD16-(Datos!T16+Datos!AL16))/(Datos!T16+Datos!AL16))
     ),IF(D_I="SI",(Datos!J16-Datos!T16)/Datos!T16,(Datos!J16+Datos!AD16-(Datos!T16+Datos!AL16))/(Datos!T16+Datos!AL16))," - ")</f>
        <v>0.11104448320976887</v>
      </c>
      <c r="D16" s="516">
        <f>IF(ISNUMBER(
   IF(D_I="SI",(Datos!K16-Datos!U16)/Datos!U16,(Datos!K16+Datos!AE16-(Datos!U16+Datos!AM16))/(Datos!U16+Datos!AM16))
     ),IF(D_I="SI",(Datos!K16-Datos!U16)/Datos!U16,(Datos!K16+Datos!AE16-(Datos!U16+Datos!AM16))/(Datos!U16+Datos!AM16))," - ")</f>
        <v>0.17274569402228976</v>
      </c>
      <c r="E16" s="516">
        <f>IF(ISNUMBER(
   IF(D_I="SI",(Datos!L16-Datos!V16)/Datos!V16,(Datos!L16+Datos!AF16-(Datos!V16+Datos!AN16))/(Datos!V16+Datos!AN16))
     ),IF(D_I="SI",(Datos!L16-Datos!V16)/Datos!V16,(Datos!L16+Datos!AF16-(Datos!V16+Datos!AN16))/(Datos!V16+Datos!AN16))," - ")</f>
        <v>-0.1321144205249189</v>
      </c>
      <c r="F16" s="516">
        <f>IF(ISNUMBER((Datos!M16-Datos!W16)/Datos!W16),(Datos!M16-Datos!W16)/Datos!W16," - ")</f>
        <v>0.2</v>
      </c>
      <c r="G16" s="517">
        <f>IF(ISNUMBER((Datos!N16-Datos!X16)/Datos!X16),(Datos!N16-Datos!X16)/Datos!X16," - ")</f>
        <v>0.13127267230955261</v>
      </c>
      <c r="H16" s="515">
        <f>IF(ISNUMBER(((NºAsuntos!G16/NºAsuntos!E16)-Datos!BD16)/Datos!BD16),((NºAsuntos!G16/NºAsuntos!E16)-Datos!BD16)/Datos!BD16," - ")</f>
        <v>5.5534419858931511E-2</v>
      </c>
      <c r="I16" s="516">
        <f>IF(ISNUMBER(((NºAsuntos!I16/NºAsuntos!G16)-Datos!BE16)/Datos!BE16),((NºAsuntos!I16/NºAsuntos!G16)-Datos!BE16)/Datos!BE16," - ")</f>
        <v>-0.25995415382988762</v>
      </c>
      <c r="J16" s="522">
        <f>IF(ISNUMBER((('Resol  Asuntos'!D16/NºAsuntos!G16)-Datos!BF16)/Datos!BF16),(('Resol  Asuntos'!D16/NºAsuntos!G16)-Datos!BF16)/Datos!BF16," - ")</f>
        <v>2.323974082073434E-2</v>
      </c>
      <c r="K16" s="523">
        <f>IF(ISNUMBER((((NºAsuntos!C16+NºAsuntos!E16)/NºAsuntos!G16)-Datos!BG16)/Datos!BG16),(((NºAsuntos!C16+NºAsuntos!E16)/NºAsuntos!G16)-Datos!BG16)/Datos!BG16," - ")</f>
        <v>-4.3714711248820655E-2</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0.68421052631578949</v>
      </c>
      <c r="C18" s="516">
        <f>IF(ISNUMBER(
   IF(D_I="SI",(Datos!J18-Datos!T18)/Datos!T18,(Datos!J18+Datos!AD18-(Datos!T18+Datos!AL18))/(Datos!T18+Datos!AL18))
     ),IF(D_I="SI",(Datos!J18-Datos!T18)/Datos!T18,(Datos!J18+Datos!AD18-(Datos!T18+Datos!AL18))/(Datos!T18+Datos!AL18))," - ")</f>
        <v>3.8740920096852302E-2</v>
      </c>
      <c r="D18" s="516">
        <f>IF(ISNUMBER(
   IF(D_I="SI",(Datos!K18-Datos!U18)/Datos!U18,(Datos!K18+Datos!AE18-(Datos!U18+Datos!AM18))/(Datos!U18+Datos!AM18))
     ),IF(D_I="SI",(Datos!K18-Datos!U18)/Datos!U18,(Datos!K18+Datos!AE18-(Datos!U18+Datos!AM18))/(Datos!U18+Datos!AM18))," - ")</f>
        <v>0.29637377963737799</v>
      </c>
      <c r="E18" s="516">
        <f>IF(ISNUMBER(
   IF(D_I="SI",(Datos!L18-Datos!V18)/Datos!V18,(Datos!L18+Datos!AF18-(Datos!V18+Datos!AN18))/(Datos!V18+Datos!AN18))
     ),IF(D_I="SI",(Datos!L18-Datos!V18)/Datos!V18,(Datos!L18+Datos!AF18-(Datos!V18+Datos!AN18))/(Datos!V18+Datos!AN18))," - ")</f>
        <v>-0.25551470588235292</v>
      </c>
      <c r="F18" s="516">
        <f>IF(ISNUMBER((Datos!M18-Datos!W18)/Datos!W18),(Datos!M18-Datos!W18)/Datos!W18," - ")</f>
        <v>0</v>
      </c>
      <c r="G18" s="517">
        <f>IF(ISNUMBER((Datos!N18-Datos!X18)/Datos!X18),(Datos!N18-Datos!X18)/Datos!X18," - ")</f>
        <v>0.53399433427762044</v>
      </c>
      <c r="H18" s="515">
        <f>IF(ISNUMBER(((NºAsuntos!G18/NºAsuntos!E18)-Datos!BD18)/Datos!BD18),((NºAsuntos!G18/NºAsuntos!E18)-Datos!BD18)/Datos!BD18," - ")</f>
        <v>0.24802417480241745</v>
      </c>
      <c r="I18" s="516">
        <f>IF(ISNUMBER(((NºAsuntos!I18/NºAsuntos!G18)-Datos!BE18)/Datos!BE18),((NºAsuntos!I18/NºAsuntos!G18)-Datos!BE18)/Datos!BE18," - ")</f>
        <v>-0.42571709964243898</v>
      </c>
      <c r="J18" s="522">
        <f>IF(ISNUMBER((('Resol  Asuntos'!D18/NºAsuntos!G18)-Datos!BF18)/Datos!BF18),(('Resol  Asuntos'!D18/NºAsuntos!G18)-Datos!BF18)/Datos!BF18," - ")</f>
        <v>-0.22861753630984402</v>
      </c>
      <c r="K18" s="523">
        <f>IF(ISNUMBER((((NºAsuntos!C18+NºAsuntos!E18)/NºAsuntos!G18)-Datos!BG18)/Datos!BG18),(((NºAsuntos!C18+NºAsuntos!E18)/NºAsuntos!G18)-Datos!BG18)/Datos!BG18," - ")</f>
        <v>-0.11730411749885938</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0.23897984886649873</v>
      </c>
      <c r="C23" s="1155">
        <f>IF(ISNUMBER(
   IF(Criterios!B14="SI",(Datos!J23-Datos!T23)/Datos!T23,(Datos!J23+Datos!AD23-(Datos!T23+Datos!AL23))/(Datos!T23+Datos!AL23))
     ),IF(Criterios!B14="SI",(Datos!J23-Datos!T23)/Datos!T23,(Datos!J23+Datos!AD23-(Datos!T23+Datos!AL23))/(Datos!T23+Datos!AL23))," - ")</f>
        <v>0.10507101420284057</v>
      </c>
      <c r="D23" s="1155">
        <f>IF(ISNUMBER(
   IF(Criterios!B14="SI",(Datos!K23-Datos!U23)/Datos!U23,(Datos!K23+Datos!AE23-(Datos!U23+Datos!AM23))/(Datos!U23+Datos!AM23))
     ),IF(Criterios!B14="SI",(Datos!K23-Datos!U23)/Datos!U23,(Datos!K23+Datos!AE23-(Datos!U23+Datos!AM23))/(Datos!U23+Datos!AM23))," - ")</f>
        <v>0.18197916666666666</v>
      </c>
      <c r="E23" s="1155">
        <f>IF(ISNUMBER(
   IF(Criterios!B14="SI",(Datos!L23-Datos!V23)/Datos!V23,(Datos!L23+Datos!AF23-(Datos!V23+Datos!AN23))/(Datos!V23+Datos!AN23))
     ),IF(Criterios!B14="SI",(Datos!L23-Datos!V23)/Datos!V23,(Datos!L23+Datos!AF23-(Datos!V23+Datos!AN23))/(Datos!V23+Datos!AN23))," - ")</f>
        <v>-0.14917407878017788</v>
      </c>
      <c r="F23" s="1156">
        <f>IF(ISNUMBER((Datos!M23-Datos!W23)/Datos!W23),(Datos!M23-Datos!W23)/Datos!W23," - ")</f>
        <v>0.195850622406639</v>
      </c>
      <c r="G23" s="1157">
        <f>IF(ISNUMBER((Datos!N23-Datos!X23)/Datos!X23),(Datos!N23-Datos!X23)/Datos!X23," - ")</f>
        <v>0.15167168890802124</v>
      </c>
      <c r="H23" s="1157">
        <f>IF(ISNUMBER(((NºAsuntos!G23/NºAsuntos!E23)-Datos!BD23)/Datos!BD23),((NºAsuntos!G23/NºAsuntos!E23)-Datos!BD23)/Datos!BD23," - ")</f>
        <v>6.9595665324101288E-2</v>
      </c>
      <c r="I23" s="1157">
        <f>IF(ISNUMBER(((NºAsuntos!I23/NºAsuntos!G23)-Datos!BE23)/Datos!BE23),((NºAsuntos!I23/NºAsuntos!G23)-Datos!BE23)/Datos!BE23," - ")</f>
        <v>-0.28016842833257316</v>
      </c>
      <c r="J23" s="1157">
        <f>IF(ISNUMBER((('Resol  Asuntos'!D23/NºAsuntos!G23)-Datos!BF23)/Datos!BF23),(('Resol  Asuntos'!D23/NºAsuntos!G23)-Datos!BF23)/Datos!BF23," - ")</f>
        <v>1.1735787001298599E-2</v>
      </c>
      <c r="K23" s="1157">
        <f>IF(ISNUMBER((((NºAsuntos!C23+NºAsuntos!E23)/NºAsuntos!G23)-Datos!BG23)/Datos!BG23),(((NºAsuntos!C23+NºAsuntos!E23)/NºAsuntos!G23)-Datos!BG23)/Datos!BG23," - ")</f>
        <v>-4.9539234916873114E-2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7.163700029180041E-2</v>
      </c>
      <c r="C31" s="1095">
        <f>IF(ISNUMBER(
   IF(J_V="SI",(Datos!J31-Datos!T31)/Datos!T31,(Datos!J31+Datos!Z31-(Datos!T31+Datos!AH31))/(Datos!T31+Datos!AH31))
     ),IF(J_V="SI",(Datos!J31-Datos!T31)/Datos!T31,(Datos!J31+Datos!Z31-(Datos!T31+Datos!AH31))/(Datos!T31+Datos!AH31))," - ")</f>
        <v>0.19882715240466517</v>
      </c>
      <c r="D31" s="1095">
        <f>IF(ISNUMBER(
   IF(J_V="SI",(Datos!K31-Datos!U31)/Datos!U31,(Datos!K31+Datos!AA31-(Datos!U31+Datos!AI31))/(Datos!U31+Datos!AI31))
     ),IF(J_V="SI",(Datos!K31-Datos!U31)/Datos!U31,(Datos!K31+Datos!AA31-(Datos!U31+Datos!AI31))/(Datos!U31+Datos!AI31))," - ")</f>
        <v>0.23616610823433851</v>
      </c>
      <c r="E31" s="1095">
        <f>IF(ISNUMBER(
   IF(J_V="SI",(Datos!L31-Datos!V31)/Datos!V31,(Datos!L31+Datos!AB31-(Datos!V31+Datos!AJ31))/(Datos!V31+Datos!AJ31))
     ),IF(J_V="SI",(Datos!L31-Datos!V31)/Datos!V31,(Datos!L31+Datos!AB31-(Datos!V31+Datos!AJ31))/(Datos!V31+Datos!AJ31))," - ")</f>
        <v>8.168822328114363E-3</v>
      </c>
      <c r="F31" s="1096">
        <f>IF(ISNUMBER((Datos!M31-Datos!W31)/Datos!W31),(Datos!M31-Datos!W31)/Datos!W31," - ")</f>
        <v>0.27976350443429188</v>
      </c>
      <c r="G31" s="1097">
        <f>IF(ISNUMBER((Datos!N31-Datos!X31)/Datos!X31),(Datos!N31-Datos!X31)/Datos!X31," - ")</f>
        <v>0.20764552562988706</v>
      </c>
      <c r="H31" s="1098">
        <f>IF(ISNUMBER((Tasas!B31-Datos!BD31)/Datos!BD31),(Tasas!B31-Datos!BD31)/Datos!BD31," - ")</f>
        <v>3.1146238016695731E-2</v>
      </c>
      <c r="I31" s="1099">
        <f>IF(ISNUMBER((Tasas!C31-Datos!BE31)/Datos!BE31),(Tasas!C31-Datos!BE31)/Datos!BE31," - ")</f>
        <v>-0.18443903645917054</v>
      </c>
      <c r="J31" s="1100">
        <f>IF(ISNUMBER((Tasas!D31-Datos!BF31)/Datos!BF31),(Tasas!D31-Datos!BF31)/Datos!BF31," - ")</f>
        <v>-0.31975399953805123</v>
      </c>
      <c r="K31" s="1100">
        <f>IF(ISNUMBER((Tasas!E31-Datos!BG31)/Datos!BG31),(Tasas!E31-Datos!BG31)/Datos!BG31," - ")</f>
        <v>-6.209248936817377E-2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3YWcVrrPKQeNKKGQkH5o+h7OlJ3UVHIcBRtkMuEkeg63Qgv/1/RvAHI4p6WqBwqaDW0f1lGCFnHzuDT6BcDskg==" saltValue="bz9WB/ND5yE1NHxn41WR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L'HOSPITALET DE LLOBREGAT</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0.95467224546722451</v>
      </c>
      <c r="C9" s="499">
        <f>IF(ISNUMBER(NºAsuntos!I9/NºAsuntos!G9),NºAsuntos!I9/NºAsuntos!G9," - ")</f>
        <v>0.82688093498904314</v>
      </c>
      <c r="D9" s="500">
        <f>IF(ISNUMBER('Resol  Asuntos'!D9/NºAsuntos!G9),'Resol  Asuntos'!D9/NºAsuntos!G9," - ")</f>
        <v>0.23871439006574141</v>
      </c>
      <c r="E9" s="501">
        <f>IF(ISNUMBER((NºAsuntos!C9+NºAsuntos!E9)/NºAsuntos!G9),(NºAsuntos!C9+NºAsuntos!E9)/NºAsuntos!G9," - ")</f>
        <v>1.8238130021913805</v>
      </c>
      <c r="G9" s="524"/>
    </row>
    <row r="10" spans="1:7">
      <c r="A10" s="451" t="str">
        <f>Datos!A10</f>
        <v>Jdos. Violencia contra la mujer</v>
      </c>
      <c r="B10" s="498">
        <f>IF(ISNUMBER(NºAsuntos!G10/NºAsuntos!E10),NºAsuntos!G10/NºAsuntos!E10," - ")</f>
        <v>0.90384615384615385</v>
      </c>
      <c r="C10" s="499">
        <f>IF(ISNUMBER(NºAsuntos!I10/NºAsuntos!G10),NºAsuntos!I10/NºAsuntos!G10," - ")</f>
        <v>1.0070921985815602</v>
      </c>
      <c r="D10" s="500">
        <f>IF(ISNUMBER('Resol  Asuntos'!D10/NºAsuntos!G10),'Resol  Asuntos'!D10/NºAsuntos!G10," - ")</f>
        <v>0.37588652482269502</v>
      </c>
      <c r="E10" s="501">
        <f>IF(ISNUMBER((NºAsuntos!C10+NºAsuntos!E10)/NºAsuntos!G10),(NºAsuntos!C10+NºAsuntos!E10)/NºAsuntos!G10," - ")</f>
        <v>2.0070921985815602</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0.95412527593818985</v>
      </c>
      <c r="C14" s="1159">
        <f>IF(ISNUMBER(NºAsuntos!I14/NºAsuntos!G14),NºAsuntos!I14/NºAsuntos!G14," - ")</f>
        <v>0.82871809702841448</v>
      </c>
      <c r="D14" s="1160">
        <f>IF(ISNUMBER('Resol  Asuntos'!D14/NºAsuntos!G14),'Resol  Asuntos'!D14/NºAsuntos!G14," - ")</f>
        <v>0.24011279010917505</v>
      </c>
      <c r="E14" s="1161">
        <f>IF(ISNUMBER((NºAsuntos!C14+NºAsuntos!E14)/NºAsuntos!G14),(NºAsuntos!C14+NºAsuntos!E14)/NºAsuntos!G14," - ")</f>
        <v>1.8256814402429324</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1.0222756488886708</v>
      </c>
      <c r="C16" s="499">
        <f>IF(ISNUMBER(NºAsuntos!I16/NºAsuntos!G16),NºAsuntos!I16/NºAsuntos!G16," - ")</f>
        <v>0.14125269978401728</v>
      </c>
      <c r="D16" s="500">
        <f>IF(ISNUMBER('Resol  Asuntos'!D16/NºAsuntos!G16),'Resol  Asuntos'!D16/NºAsuntos!G16," - ")</f>
        <v>6.796256299496041E-2</v>
      </c>
      <c r="E16" s="501">
        <f>IF(ISNUMBER((NºAsuntos!C16+NºAsuntos!E16)/NºAsuntos!G16),(NºAsuntos!C16+NºAsuntos!E16)/NºAsuntos!G16," - ")</f>
        <v>1.1409647228221742</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1.0833333333333333</v>
      </c>
      <c r="C18" s="499">
        <f>IF(ISNUMBER(NºAsuntos!I18/NºAsuntos!G18),NºAsuntos!I18/NºAsuntos!G18," - ")</f>
        <v>0.21785906401291016</v>
      </c>
      <c r="D18" s="500">
        <f>IF(ISNUMBER('Resol  Asuntos'!D18/NºAsuntos!G18),'Resol  Asuntos'!D18/NºAsuntos!G18," - ")</f>
        <v>1.3448090371167294E-2</v>
      </c>
      <c r="E18" s="501">
        <f>IF(ISNUMBER((NºAsuntos!C18+NºAsuntos!E18)/NºAsuntos!G18),(NºAsuntos!C18+NºAsuntos!E18)/NºAsuntos!G18," - ")</f>
        <v>1.2157073695535234</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1.0270172421595691</v>
      </c>
      <c r="C23" s="1159">
        <f>IF(ISNUMBER(NºAsuntos!I23/NºAsuntos!G23),NºAsuntos!I23/NºAsuntos!G23," - ")</f>
        <v>0.1475279809641315</v>
      </c>
      <c r="D23" s="1162">
        <f>IF(ISNUMBER('Resol  Asuntos'!D23/NºAsuntos!G23),'Resol  Asuntos'!D23/NºAsuntos!G23," - ")</f>
        <v>6.3496959548779416E-2</v>
      </c>
      <c r="E23" s="1161">
        <f>IF(ISNUMBER((NºAsuntos!C23+NºAsuntos!E23)/NºAsuntos!G23),(NºAsuntos!C23+NºAsuntos!E23)/NºAsuntos!G23," - ")</f>
        <v>1.1470873358596987</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0.9981417210941983</v>
      </c>
      <c r="C31" s="1102">
        <f>IF(ISNUMBER(NºAsuntos!I31/NºAsuntos!G31),NºAsuntos!I31/NºAsuntos!G31," - ")</f>
        <v>0.40547570157426421</v>
      </c>
      <c r="D31" s="1103">
        <f>IF(ISNUMBER('Resol  Asuntos'!D31/NºAsuntos!G31),'Resol  Asuntos'!D31/NºAsuntos!G31," - ")</f>
        <v>0.13037645448323065</v>
      </c>
      <c r="E31" s="1104">
        <f>IF(ISNUMBER((NºAsuntos!C31+NºAsuntos!E31)/NºAsuntos!G31),(NºAsuntos!C31+NºAsuntos!E31)/NºAsuntos!G31," - ")</f>
        <v>1.4040520191649555</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gSlQ1uUZMG9nid9yVpfELRBmmBwk/j8c7RNoaY4pGYwTiQWnK4m04E2elsYJvT5sW9CU9j2LaB5xiS4eogzpg==" saltValue="1KVbuNlY4jplNeIT2f+e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L'HOSPITALET DE LLOBREGAT</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8</v>
      </c>
      <c r="B9" s="190" t="s">
        <v>324</v>
      </c>
      <c r="C9" s="173" t="str">
        <f>Datos!A9</f>
        <v xml:space="preserve">Jdos. 1ª Instancia   </v>
      </c>
      <c r="D9" s="173"/>
      <c r="E9" s="290">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3009</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3935</v>
      </c>
      <c r="Y9" s="374">
        <f>SUM(W9:X9)</f>
        <v>3935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13314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3268</v>
      </c>
      <c r="AJ9" s="243" t="str">
        <f>IF(ISNUMBER(Datos!BW9),Datos!BW9," - ")</f>
        <v xml:space="preserve"> - </v>
      </c>
      <c r="AK9" s="242" t="str">
        <f>IF(ISNUMBER(Datos!BX9),Datos!BX9," - ")</f>
        <v xml:space="preserve"> - </v>
      </c>
      <c r="AL9" s="266">
        <f>IF(ISNUMBER(NºAsuntos!G9/NºAsuntos!E9),NºAsuntos!G9/NºAsuntos!E9," - ")</f>
        <v>0.95467224546722451</v>
      </c>
      <c r="AM9" s="284">
        <f>IF(ISNUMBER(((NºAsuntos!I9/NºAsuntos!G9)*11)/factor_trimestre),((NºAsuntos!I9/NºAsuntos!G9)*11)/factor_trimestre," - ")</f>
        <v>9.0956902848794741</v>
      </c>
      <c r="AN9" s="267">
        <f>IF(ISNUMBER('Resol  Asuntos'!D9/NºAsuntos!G9),'Resol  Asuntos'!D9/NºAsuntos!G9," - ")</f>
        <v>0.23871439006574141</v>
      </c>
      <c r="AO9" s="268">
        <f>IF(ISNUMBER((NºAsuntos!C9+NºAsuntos!E9)/NºAsuntos!G9),(NºAsuntos!C9+NºAsuntos!E9)/NºAsuntos!G9," - ")</f>
        <v>1.8238130021913805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1</v>
      </c>
      <c r="F10" s="239">
        <f>IF(ISNUMBER(Datos!L10+Datos!K10-Datos!J10-K10),Datos!L10+Datos!K10-Datos!J10-K10," - ")</f>
        <v>127</v>
      </c>
      <c r="G10" s="373">
        <f>IF(ISNUMBER(Datos!I10),Datos!I10," - ")</f>
        <v>127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34</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141</v>
      </c>
      <c r="X10" s="240">
        <f>IF(ISNUMBER(Datos!Q10),Datos!Q10," - ")</f>
        <v>18</v>
      </c>
      <c r="Y10" s="374">
        <f t="shared" ref="Y10:Y13" si="0">SUM(W10:X10)</f>
        <v>159</v>
      </c>
      <c r="Z10" s="375" t="str">
        <f>IF(ISNUMBER(Datos!CC10),Datos!CC10," - ")</f>
        <v xml:space="preserve"> - </v>
      </c>
      <c r="AA10" s="372">
        <f>IF(ISNUMBER(Datos!L10),Datos!L10,"-")</f>
        <v>142</v>
      </c>
      <c r="AB10" s="374">
        <f>IF(ISNUMBER(Datos!R10),Datos!R10," - ")</f>
        <v>115</v>
      </c>
      <c r="AC10" s="374">
        <f t="shared" ref="AC10:AC13" si="1">IF(ISNUMBER(AA10+AB10),AA10+AB10," - ")</f>
        <v>257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53</v>
      </c>
      <c r="AJ10" s="245" t="str">
        <f>IF(ISNUMBER(Datos!BW10),Datos!BW10," - ")</f>
        <v xml:space="preserve"> - </v>
      </c>
      <c r="AK10" s="246" t="str">
        <f>IF(ISNUMBER(Datos!BX10),Datos!BX10," - ")</f>
        <v xml:space="preserve"> - </v>
      </c>
      <c r="AL10" s="266">
        <f>IF(ISNUMBER(NºAsuntos!G10/NºAsuntos!E10),NºAsuntos!G10/NºAsuntos!E10," - ")</f>
        <v>0.90384615384615385</v>
      </c>
      <c r="AM10" s="284">
        <f>IF(ISNUMBER(((NºAsuntos!I10/NºAsuntos!G10)*11)/factor_trimestre),((NºAsuntos!I10/NºAsuntos!G10)*11)/factor_trimestre," - ")</f>
        <v>11.078014184397162</v>
      </c>
      <c r="AN10" s="267">
        <f>IF(ISNUMBER('Resol  Asuntos'!D10/NºAsuntos!G10),'Resol  Asuntos'!D10/NºAsuntos!G10," - ")</f>
        <v>0.37588652482269502</v>
      </c>
      <c r="AO10" s="268">
        <f>IF(ISNUMBER((NºAsuntos!C10+NºAsuntos!E10)/NºAsuntos!G10),(NºAsuntos!C10+NºAsuntos!E10)/NºAsuntos!G10," - ")</f>
        <v>2.0070921985815602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9</v>
      </c>
      <c r="F14" s="1165">
        <f t="shared" si="5"/>
        <v>127</v>
      </c>
      <c r="G14" s="1166">
        <f t="shared" si="5"/>
        <v>127</v>
      </c>
      <c r="H14" s="1165">
        <f t="shared" si="5"/>
        <v>0</v>
      </c>
      <c r="I14" s="1167">
        <f t="shared" si="5"/>
        <v>0</v>
      </c>
      <c r="J14" s="1167">
        <f t="shared" si="5"/>
        <v>0</v>
      </c>
      <c r="K14" s="1167">
        <f t="shared" si="5"/>
        <v>0</v>
      </c>
      <c r="L14" s="1167">
        <f t="shared" si="5"/>
        <v>3043</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141</v>
      </c>
      <c r="X14" s="1167">
        <f t="shared" si="6"/>
        <v>3953</v>
      </c>
      <c r="Y14" s="1168">
        <f t="shared" si="6"/>
        <v>4094</v>
      </c>
      <c r="Z14" s="1168">
        <f t="shared" si="6"/>
        <v>0</v>
      </c>
      <c r="AA14" s="1168">
        <f t="shared" si="6"/>
        <v>142</v>
      </c>
      <c r="AB14" s="1168">
        <f t="shared" si="6"/>
        <v>13429</v>
      </c>
      <c r="AC14" s="1168">
        <f t="shared" si="6"/>
        <v>257</v>
      </c>
      <c r="AD14" s="1168">
        <f t="shared" si="6"/>
        <v>0</v>
      </c>
      <c r="AE14" s="1172">
        <f t="shared" si="6"/>
        <v>0</v>
      </c>
      <c r="AF14" s="1165">
        <f t="shared" si="6"/>
        <v>0</v>
      </c>
      <c r="AG14" s="1173">
        <f t="shared" si="6"/>
        <v>0</v>
      </c>
      <c r="AH14" s="1170">
        <f t="shared" si="6"/>
        <v>0</v>
      </c>
      <c r="AI14" s="1165">
        <f t="shared" si="6"/>
        <v>3321</v>
      </c>
      <c r="AJ14" s="1167">
        <f t="shared" si="6"/>
        <v>0</v>
      </c>
      <c r="AK14" s="1170">
        <f>SUBTOTAL(9,AK9:AK13)</f>
        <v>0</v>
      </c>
      <c r="AL14" s="1174">
        <f>IF(ISNUMBER(NºAsuntos!G14/NºAsuntos!E14),NºAsuntos!G14/NºAsuntos!E14," - ")</f>
        <v>0.95412527593818985</v>
      </c>
      <c r="AM14" s="1174">
        <f>IF(ISNUMBER(((NºAsuntos!I14/NºAsuntos!G14)*11)/factor_trimestre),((NºAsuntos!I14/NºAsuntos!G14)*11)/factor_trimestre," - ")</f>
        <v>9.1158990673125597</v>
      </c>
      <c r="AN14" s="1175">
        <f>IF(ISNUMBER('Resol  Asuntos'!D14/NºAsuntos!G14),'Resol  Asuntos'!D14/NºAsuntos!G14," - ")</f>
        <v>0.24011279010917505</v>
      </c>
      <c r="AO14" s="1176">
        <f>IF(ISNUMBER((NºAsuntos!C14+NºAsuntos!E14)/NºAsuntos!G14),(NºAsuntos!C14+NºAsuntos!E14)/NºAsuntos!G14," - ")</f>
        <v>1.8256814402429324</v>
      </c>
      <c r="AP14" s="1177" t="str">
        <f t="shared" si="2"/>
        <v xml:space="preserve"> - </v>
      </c>
      <c r="AQ14" s="1177">
        <f>IF(ISNUMBER((H14-W14+K14)/(F14)),(H14-W14+K14)/(F14)," - ")</f>
        <v>-1.110236220472441</v>
      </c>
      <c r="AR14" s="1178">
        <f>IF(ISNUMBER((Datos!P14-Datos!Q14)/(Datos!R14-Datos!P14+Datos!Q14)),(Datos!P14-Datos!Q14)/(Datos!R14-Datos!P14+Datos!Q14)," - ")</f>
        <v>-6.3463281958295564E-2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5</v>
      </c>
      <c r="B16" s="300" t="s">
        <v>515</v>
      </c>
      <c r="C16" s="173" t="str">
        <f>Datos!A16</f>
        <v xml:space="preserve">Jdos. Instrucción                               </v>
      </c>
      <c r="D16" s="173"/>
      <c r="E16" s="290">
        <f>IF(ISNUMBER(Datos!AQ16),Datos!AQ16," - ")</f>
        <v>5</v>
      </c>
      <c r="F16" s="239">
        <f>IF(ISNUMBER(AA16+W16-Datos!J16-K16),AA16+W16-Datos!J16-K16," - ")</f>
        <v>3397</v>
      </c>
      <c r="G16" s="373">
        <f>IF(ISNUMBER(IF(D_I="SI",Datos!I16,Datos!I16+Datos!AC16)),IF(D_I="SI",Datos!I16,Datos!I16+Datos!AC16)," - ")</f>
        <v>3391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539</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20835</v>
      </c>
      <c r="X16" s="240">
        <f>IF(ISNUMBER(Datos!Q16),Datos!Q16," - ")</f>
        <v>639</v>
      </c>
      <c r="Y16" s="374">
        <f>SUM(W16)</f>
        <v>20835</v>
      </c>
      <c r="Z16" s="375" t="str">
        <f>IF(ISNUMBER(Datos!CC16),Datos!CC16," - ")</f>
        <v xml:space="preserve"> - </v>
      </c>
      <c r="AA16" s="372">
        <f>IF(ISNUMBER(IF(D_I="SI",Datos!L16,Datos!L16+Datos!AF16)),IF(D_I="SI",Datos!L16,Datos!L16+Datos!AF16)," - ")</f>
        <v>2943</v>
      </c>
      <c r="AB16" s="374">
        <f>IF(ISNUMBER(Datos!R16),Datos!R16," - ")</f>
        <v>368</v>
      </c>
      <c r="AC16" s="374">
        <f t="shared" ref="AC16:AC22" si="8">IF(ISNUMBER(AA16+AB16),AA16+AB16," - ")</f>
        <v>3311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1416</v>
      </c>
      <c r="AJ16" s="245" t="str">
        <f>IF(ISNUMBER(Datos!BW16),Datos!BW16," - ")</f>
        <v xml:space="preserve"> - </v>
      </c>
      <c r="AK16" s="246" t="str">
        <f>IF(ISNUMBER(Datos!BX16),Datos!BX16," - ")</f>
        <v xml:space="preserve"> - </v>
      </c>
      <c r="AL16" s="266">
        <f>IF(ISNUMBER(NºAsuntos!G16/NºAsuntos!E16),NºAsuntos!G16/NºAsuntos!E16," - ")</f>
        <v>1.0222756488886708</v>
      </c>
      <c r="AM16" s="284">
        <f>IF(ISNUMBER(((NºAsuntos!I16/NºAsuntos!G16)*11)/factor_trimestre),((NºAsuntos!I16/NºAsuntos!G16)*11)/factor_trimestre," - ")</f>
        <v>1.55377969762419</v>
      </c>
      <c r="AN16" s="267">
        <f>IF(ISNUMBER('Resol  Asuntos'!D16/NºAsuntos!G16),'Resol  Asuntos'!D16/NºAsuntos!G16," - ")</f>
        <v>6.796256299496041E-2</v>
      </c>
      <c r="AO16" s="268">
        <f>IF(ISNUMBER((NºAsuntos!C16+NºAsuntos!E16)/NºAsuntos!G16),(NºAsuntos!C16+NºAsuntos!E16)/NºAsuntos!G16," - ")</f>
        <v>1.1409647228221742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544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1859</v>
      </c>
      <c r="X18" s="240">
        <f>IF(ISNUMBER(Datos!Q18),Datos!Q18," - ")</f>
        <v>10</v>
      </c>
      <c r="Y18" s="374">
        <f t="shared" si="9"/>
        <v>1869</v>
      </c>
      <c r="Z18" s="375" t="str">
        <f>IF(ISNUMBER(Datos!CC18),Datos!CC18," - ")</f>
        <v xml:space="preserve"> - </v>
      </c>
      <c r="AA18" s="372">
        <f>IF(ISNUMBER(Datos!L18),Datos!L18,"-")</f>
        <v>405</v>
      </c>
      <c r="AB18" s="374">
        <f>IF(ISNUMBER(Datos!R18),Datos!R18," - ")</f>
        <v>5</v>
      </c>
      <c r="AC18" s="374">
        <f t="shared" si="8"/>
        <v>410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1.0833333333333333</v>
      </c>
      <c r="AM18" s="284">
        <f>IF(ISNUMBER(((NºAsuntos!I18/NºAsuntos!G18)*11)/factor_trimestre),((NºAsuntos!I18/NºAsuntos!G18)*11)/factor_trimestre," - ")</f>
        <v>2.3964497041420119</v>
      </c>
      <c r="AN18" s="267">
        <f>IF(ISNUMBER('Resol  Asuntos'!D18/NºAsuntos!G18),'Resol  Asuntos'!D18/NºAsuntos!G18," - ")</f>
        <v>1.3448090371167294E-2</v>
      </c>
      <c r="AO18" s="268">
        <f>IF(ISNUMBER((NºAsuntos!C18+NºAsuntos!E18)/NºAsuntos!G18),(NºAsuntos!C18+NºAsuntos!E18)/NºAsuntos!G18," - ")</f>
        <v>1.2157073695535234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6</v>
      </c>
      <c r="F23" s="1165">
        <f>SUBTOTAL(9,F15:F22)</f>
        <v>3397</v>
      </c>
      <c r="G23" s="1166">
        <f>SUBTOTAL(9,G16:G22)</f>
        <v>3935</v>
      </c>
      <c r="H23" s="1165">
        <f t="shared" ref="H23:O23" si="13">SUBTOTAL(9,H15:H22)</f>
        <v>0</v>
      </c>
      <c r="I23" s="1167">
        <f t="shared" si="13"/>
        <v>0</v>
      </c>
      <c r="J23" s="1167">
        <f t="shared" si="13"/>
        <v>0</v>
      </c>
      <c r="K23" s="1167">
        <f t="shared" si="13"/>
        <v>0</v>
      </c>
      <c r="L23" s="1167">
        <f t="shared" si="13"/>
        <v>545</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22694</v>
      </c>
      <c r="X23" s="1167">
        <f t="shared" si="14"/>
        <v>649</v>
      </c>
      <c r="Y23" s="1168">
        <f t="shared" si="14"/>
        <v>22704</v>
      </c>
      <c r="Z23" s="1168">
        <f t="shared" si="14"/>
        <v>0</v>
      </c>
      <c r="AA23" s="1168">
        <f t="shared" si="14"/>
        <v>3348</v>
      </c>
      <c r="AB23" s="1168">
        <f t="shared" si="14"/>
        <v>373</v>
      </c>
      <c r="AC23" s="1168">
        <f t="shared" si="14"/>
        <v>3721</v>
      </c>
      <c r="AD23" s="1168">
        <f t="shared" si="14"/>
        <v>0</v>
      </c>
      <c r="AE23" s="1172">
        <f t="shared" si="14"/>
        <v>0</v>
      </c>
      <c r="AF23" s="1165">
        <f t="shared" si="14"/>
        <v>0</v>
      </c>
      <c r="AG23" s="1173">
        <f t="shared" si="14"/>
        <v>0</v>
      </c>
      <c r="AH23" s="1170">
        <f t="shared" si="14"/>
        <v>0</v>
      </c>
      <c r="AI23" s="1165">
        <f t="shared" si="14"/>
        <v>1441</v>
      </c>
      <c r="AJ23" s="1167">
        <f t="shared" si="14"/>
        <v>0</v>
      </c>
      <c r="AK23" s="1170">
        <f t="shared" si="14"/>
        <v>0</v>
      </c>
      <c r="AL23" s="1174">
        <f>IF(ISNUMBER(NºAsuntos!G23/NºAsuntos!E23),NºAsuntos!G23/NºAsuntos!E23," - ")</f>
        <v>1.0270172421595691</v>
      </c>
      <c r="AM23" s="1174">
        <f>IF(ISNUMBER(((NºAsuntos!I23/NºAsuntos!G23)*11)/factor_trimestre),((NºAsuntos!I23/NºAsuntos!G23)*11)/factor_trimestre," - ")</f>
        <v>1.6228077906054466</v>
      </c>
      <c r="AN23" s="1175">
        <f>IF(ISNUMBER('Resol  Asuntos'!D23/NºAsuntos!G23),'Resol  Asuntos'!D23/NºAsuntos!G23," - ")</f>
        <v>6.3496959548779416E-2</v>
      </c>
      <c r="AO23" s="1176">
        <f>IF(ISNUMBER((NºAsuntos!C23+NºAsuntos!E23)/NºAsuntos!G23),(NºAsuntos!C23+NºAsuntos!E23)/NºAsuntos!G23," - ")</f>
        <v>1.1470873358596987</v>
      </c>
      <c r="AP23" s="1177" t="str">
        <f t="shared" si="2"/>
        <v xml:space="preserve"> - </v>
      </c>
      <c r="AQ23" s="1177">
        <f>IF(ISNUMBER((H23-W23+K23)/(F23)),(H23-W23+K23)/(F23)," - ")</f>
        <v>-6.680600529879305</v>
      </c>
      <c r="AR23" s="1178">
        <f>IF(ISNUMBER((Datos!P23-Datos!Q23)/(Datos!R23-Datos!P23+Datos!Q23)),(Datos!P23-Datos!Q23)/(Datos!R23-Datos!P23+Datos!Q23)," - ")</f>
        <v>-0.2180293501048218</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15</v>
      </c>
      <c r="F31" s="1120">
        <f t="shared" si="20"/>
        <v>3524</v>
      </c>
      <c r="G31" s="1121">
        <f t="shared" si="20"/>
        <v>4062</v>
      </c>
      <c r="H31" s="1120">
        <f t="shared" si="20"/>
        <v>0</v>
      </c>
      <c r="I31" s="1122">
        <f t="shared" si="20"/>
        <v>0</v>
      </c>
      <c r="J31" s="1122">
        <f t="shared" si="20"/>
        <v>0</v>
      </c>
      <c r="K31" s="1183">
        <f t="shared" si="20"/>
        <v>0</v>
      </c>
      <c r="L31" s="1122">
        <f t="shared" si="20"/>
        <v>3588</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22835</v>
      </c>
      <c r="X31" s="1121">
        <f t="shared" si="21"/>
        <v>4602</v>
      </c>
      <c r="Y31" s="1128">
        <f t="shared" si="21"/>
        <v>26798</v>
      </c>
      <c r="Z31" s="1128">
        <f t="shared" si="21"/>
        <v>0</v>
      </c>
      <c r="AA31" s="1128">
        <f t="shared" si="21"/>
        <v>3490</v>
      </c>
      <c r="AB31" s="1128">
        <f t="shared" si="21"/>
        <v>13802</v>
      </c>
      <c r="AC31" s="1128">
        <f t="shared" si="21"/>
        <v>3978</v>
      </c>
      <c r="AD31" s="1128">
        <f t="shared" si="21"/>
        <v>0</v>
      </c>
      <c r="AE31" s="1130">
        <f t="shared" si="21"/>
        <v>0</v>
      </c>
      <c r="AF31" s="1131">
        <f t="shared" si="21"/>
        <v>0</v>
      </c>
      <c r="AG31" s="1132">
        <f t="shared" si="21"/>
        <v>0</v>
      </c>
      <c r="AH31" s="1130">
        <f t="shared" si="21"/>
        <v>0</v>
      </c>
      <c r="AI31" s="1120">
        <f t="shared" si="21"/>
        <v>4762</v>
      </c>
      <c r="AJ31" s="1120">
        <f t="shared" si="21"/>
        <v>0</v>
      </c>
      <c r="AK31" s="1130">
        <f t="shared" si="21"/>
        <v>0</v>
      </c>
      <c r="AL31" s="1186">
        <f>IF(ISNUMBER(NºAsuntos!G31/NºAsuntos!E31),NºAsuntos!G31/NºAsuntos!E31," - ")</f>
        <v>0.9981417210941983</v>
      </c>
      <c r="AM31" s="1187">
        <f>IF(ISNUMBER(((NºAsuntos!I31/NºAsuntos!G31)*11)/factor_trimestre),((NºAsuntos!I31/NºAsuntos!G31)*11)/factor_trimestre," - ")</f>
        <v>4.4602327173169067</v>
      </c>
      <c r="AN31" s="1187">
        <f>IF(ISNUMBER('Resol  Asuntos'!D31/NºAsuntos!G31),'Resol  Asuntos'!D31/NºAsuntos!G31," - ")</f>
        <v>0.13037645448323065</v>
      </c>
      <c r="AO31" s="1188">
        <f>IF(ISNUMBER((NºAsuntos!C31+NºAsuntos!E31)/NºAsuntos!G31),(NºAsuntos!C31+NºAsuntos!E31)/NºAsuntos!G31," - ")</f>
        <v>1.4040520191649555</v>
      </c>
      <c r="AP31" s="1189" t="str">
        <f t="shared" si="2"/>
        <v xml:space="preserve"> - </v>
      </c>
      <c r="AQ31" s="1190">
        <f>IF(OR(ISNUMBER(FIND("01",Criterios!A8,1)),ISNUMBER(FIND("02",Criterios!A8,1)),ISNUMBER(FIND("03",Criterios!A8,1)),ISNUMBER(FIND("04",Criterios!A8,1))),(I31-W31+K31)/(F31-K31),(H31-W31+K31)/(F31-K31))</f>
        <v>-6.4798524404086262</v>
      </c>
      <c r="AR31" s="1191">
        <f>IF(ISNUMBER((Datos!P31-Datos!Q31)/(Datos!R31-Datos!P31+Datos!Q31)),(Datos!P31-Datos!Q31)/(Datos!R31-Datos!P31+Datos!Q31)," - ")</f>
        <v>-6.8439524838012952E-2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1160.5714285714287</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2.9873025638838686</v>
      </c>
      <c r="F33" s="276">
        <f>IF(ISNUMBER(STDEV(F8:F30)),STDEV(F8:F30),"-")</f>
        <v>1722.3487064664537</v>
      </c>
      <c r="G33" s="277">
        <f>IF(ISNUMBER(STDEV(G8:G30)),STDEV(G8:G30),"-")</f>
        <v>1726.4036663097131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10445.464529550385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1437.0363351604678</v>
      </c>
      <c r="AJ33" s="276">
        <f t="shared" si="24"/>
        <v>0</v>
      </c>
      <c r="AK33" s="278">
        <f t="shared" si="24"/>
        <v>0</v>
      </c>
      <c r="AL33" s="273">
        <f t="shared" si="24"/>
        <v>6.4924583129933849E-2</v>
      </c>
      <c r="AM33" s="274">
        <f t="shared" si="24"/>
        <v>4.3994776294305691</v>
      </c>
      <c r="AN33" s="274">
        <f t="shared" si="24"/>
        <v>0.14015744954370074</v>
      </c>
      <c r="AO33" s="275">
        <f t="shared" si="24"/>
        <v>0.39951385297886077</v>
      </c>
      <c r="AP33" s="317" t="str">
        <f t="shared" si="24"/>
        <v>-</v>
      </c>
      <c r="AQ33" s="318">
        <f t="shared" si="24"/>
        <v>3.9388423768611136</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w6gUvbAprB5zYHuyy1xxo99NEafI/c8xs1XlBRtr/RZyYA5qYYUeHx4oJOsrM54KfYyc7nKFEzrRedYdIWLvmw==" saltValue="h/hf80y/H1xVSDEGwA4IQ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L'HOSPITALET DE LLOBREGAT</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0.31774193548387097</v>
      </c>
      <c r="I9" s="396">
        <f>IF(ISNUMBER((Tasas!C9-Datos!BE9)/Datos!BE9),(Tasas!C9-Datos!BE9)/Datos!BE9," - ")</f>
        <v>-0.2051735385916387</v>
      </c>
      <c r="J9" s="395">
        <f>IF(ISNUMBER((Tasas!D9-Datos!BF9)/Datos!BF9),(Tasas!D9-Datos!BF9)/Datos!BF9," - ")</f>
        <v>-0.44850605859077014</v>
      </c>
      <c r="K9" s="397">
        <f>IF(ISNUMBER((Tasas!E9-Datos!BG9)/Datos!BG9),(Tasas!E9-Datos!BG9)/Datos!BG9," - ")</f>
        <v>-0.10431335302436576</v>
      </c>
      <c r="M9" t="e">
        <f>IF(Monitorios="SI",Datos!CE9,0)</f>
        <v>#REF!</v>
      </c>
      <c r="N9" t="e">
        <f>IF(Monitorios="SI",Datos!CF9,0)</f>
        <v>#REF!</v>
      </c>
      <c r="O9" t="e">
        <f>IF(Monitorios="SI",Datos!CG9,0)</f>
        <v>#REF!</v>
      </c>
      <c r="P9" t="e">
        <f>IF(Monitorios="SI",Datos!CH9,0)</f>
        <v>#REF!</v>
      </c>
      <c r="Q9">
        <f>IF(J_V="SI",0,Datos!AG9)</f>
        <v>312</v>
      </c>
      <c r="R9">
        <f>IF(J_V="SI",0,Datos!AH9)</f>
        <v>702</v>
      </c>
      <c r="S9">
        <f>IF(J_V="SI",0,Datos!AI9)</f>
        <v>756</v>
      </c>
      <c r="T9">
        <f>IF(J_V="SI",0,Datos!AJ9)</f>
        <v>257</v>
      </c>
    </row>
    <row r="10" spans="2:20" ht="14.25">
      <c r="B10" s="300" t="s">
        <v>324</v>
      </c>
      <c r="C10" s="7" t="str">
        <f>Datos!A10</f>
        <v>Jdos. Violencia contra la mujer</v>
      </c>
      <c r="D10" s="398">
        <f>IF(ISNUMBER((Datos!I10-Datos!S10)/Datos!S10),(Datos!I10-Datos!S10)/Datos!S10," - ")</f>
        <v>7.9365079365079361E-3</v>
      </c>
      <c r="E10" s="394">
        <f>IF(ISNUMBER((Datos!J10-Datos!T10)/Datos!T10),(Datos!J10-Datos!T10)/Datos!T10," - ")</f>
        <v>0.18181818181818182</v>
      </c>
      <c r="F10" s="394">
        <f>IF(ISNUMBER((Datos!K10-Datos!U10)/Datos!U10),(Datos!K10-Datos!U10)/Datos!U10," - ")</f>
        <v>7.6335877862595422E-2</v>
      </c>
      <c r="G10" s="395">
        <f>IF(ISNUMBER((Datos!L10-Datos!V10)/Datos!V10),(Datos!L10-Datos!V10)/Datos!V10," - ")</f>
        <v>0.11811023622047244</v>
      </c>
      <c r="H10" s="244">
        <f>IF(ISNUMBER((Datos!M10-Datos!W10)/Datos!W10),(Datos!M10-Datos!W10)/Datos!W10," - ")</f>
        <v>0.47222222222222221</v>
      </c>
      <c r="I10" s="396">
        <f>IF(ISNUMBER((Tasas!C10-Datos!BE10)/Datos!BE10),(Tasas!C10-Datos!BE10)/Datos!BE10," - ")</f>
        <v>3.8811637906963709E-2</v>
      </c>
      <c r="J10" s="395">
        <f>IF(ISNUMBER((Tasas!D10-Datos!BF10)/Datos!BF10),(Tasas!D10-Datos!BF10)/Datos!BF10," - ")</f>
        <v>0.36780929866036238</v>
      </c>
      <c r="K10" s="397">
        <f>IF(ISNUMBER((Tasas!E10-Datos!BG10)/Datos!BG10),(Tasas!E10-Datos!BG10)/Datos!BG10," - ")</f>
        <v>1.9104953543350352E-2</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0.31995230524642287</v>
      </c>
      <c r="I14" s="403">
        <f>IF(ISNUMBER((Tasas!C14-Datos!BE14)/Datos!BE14),(Tasas!C14-Datos!BE14)/Datos!BE14," - ")</f>
        <v>-0.20272002324937197</v>
      </c>
      <c r="J14" s="401">
        <f>IF(ISNUMBER((Tasas!D14-Datos!BF14)/Datos!BF14),(Tasas!D14-Datos!BF14)/Datos!BF14," - ")</f>
        <v>-0.44269918365643018</v>
      </c>
      <c r="K14" s="404">
        <f>IF(ISNUMBER((Tasas!E14-Datos!BG14)/Datos!BG14),(Tasas!E14-Datos!BG14)/Datos!BG14," - ")</f>
        <v>-0.10302346333363611</v>
      </c>
      <c r="M14" t="e">
        <f>IF(Monitorios="SI",Datos!CE14,0)</f>
        <v>#REF!</v>
      </c>
      <c r="N14" t="e">
        <f>IF(Monitorios="SI",Datos!CF14,0)</f>
        <v>#REF!</v>
      </c>
      <c r="O14" t="e">
        <f>IF(Monitorios="SI",Datos!CG14,0)</f>
        <v>#REF!</v>
      </c>
      <c r="P14" t="e">
        <f>IF(Monitorios="SI",Datos!CH14,0)</f>
        <v>#REF!</v>
      </c>
      <c r="Q14">
        <f>IF(J_V="SI",0,Datos!AG14)</f>
        <v>312</v>
      </c>
      <c r="R14">
        <f>IF(J_V="SI",0,Datos!AH14)</f>
        <v>702</v>
      </c>
      <c r="S14">
        <f>IF(J_V="SI",0,Datos!AI14)</f>
        <v>756</v>
      </c>
      <c r="T14">
        <f>IF(J_V="SI",0,Datos!AJ14)</f>
        <v>257</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0.18857343147563968</v>
      </c>
      <c r="E16" s="394">
        <f>IF(ISNUMBER(
   IF(D_I="SI",(Datos!J16-Datos!T16)/Datos!T16,(Datos!J16+Datos!AD16-(Datos!T16+Datos!AL16))/(Datos!T16+Datos!AL16))
     ),IF(D_I="SI",(Datos!J16-Datos!T16)/Datos!T16,(Datos!J16+Datos!AD16-(Datos!T16+Datos!AL16))/(Datos!T16+Datos!AL16))," - ")</f>
        <v>0.11104448320976887</v>
      </c>
      <c r="F16" s="394">
        <f>IF(ISNUMBER(
   IF(D_I="SI",(Datos!K16-Datos!U16)/Datos!U16,(Datos!K16+Datos!AE16-(Datos!U16+Datos!AM16))/(Datos!U16+Datos!AM16))
     ),IF(D_I="SI",(Datos!K16-Datos!U16)/Datos!U16,(Datos!K16+Datos!AE16-(Datos!U16+Datos!AM16))/(Datos!U16+Datos!AM16))," - ")</f>
        <v>0.17274569402228976</v>
      </c>
      <c r="G16" s="395">
        <f>IF(ISNUMBER(
   IF(D_I="SI",(Datos!L16-Datos!V16)/Datos!V16,(Datos!L16+Datos!AF16-(Datos!V16+Datos!AN16))/(Datos!V16+Datos!AN16))
     ),IF(D_I="SI",(Datos!L16-Datos!V16)/Datos!V16,(Datos!L16+Datos!AF16-(Datos!V16+Datos!AN16))/(Datos!V16+Datos!AN16))," - ")</f>
        <v>-0.1321144205249189</v>
      </c>
      <c r="H16" s="244">
        <f>IF(ISNUMBER((Datos!M16-Datos!W16)/Datos!W16),(Datos!M16-Datos!W16)/Datos!W16," - ")</f>
        <v>0.2</v>
      </c>
      <c r="I16" s="396">
        <f>IF(ISNUMBER((Tasas!C16-Datos!BE16)/Datos!BE16),(Tasas!C16-Datos!BE16)/Datos!BE16," - ")</f>
        <v>-0.25995415382988762</v>
      </c>
      <c r="J16" s="395">
        <f>IF(ISNUMBER((Tasas!D16-Datos!BF16)/Datos!BF16),(Tasas!D16-Datos!BF16)/Datos!BF16," - ")</f>
        <v>2.323974082073434E-2</v>
      </c>
      <c r="K16" s="397">
        <f>IF(ISNUMBER((Tasas!E16-Datos!BG16)/Datos!BG16),(Tasas!E16-Datos!BG16)/Datos!BG16," - ")</f>
        <v>-4.3714711248820655E-2</v>
      </c>
    </row>
    <row r="17" spans="2:20" ht="14.25">
      <c r="B17" s="300" t="s">
        <v>515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0.68421052631578949</v>
      </c>
      <c r="E18" s="394">
        <f>IF(ISNUMBER(
   IF(D_I="SI",(Datos!J18-Datos!T18)/Datos!T18,(Datos!J18+Datos!AD18-(Datos!T18+Datos!AL18))/(Datos!T18+Datos!AL18))
     ),IF(D_I="SI",(Datos!J18-Datos!T18)/Datos!T18,(Datos!J18+Datos!AD18-(Datos!T18+Datos!AL18))/(Datos!T18+Datos!AL18))," - ")</f>
        <v>3.8740920096852302E-2</v>
      </c>
      <c r="F18" s="394">
        <f>IF(ISNUMBER(
   IF(D_I="SI",(Datos!K18-Datos!U18)/Datos!U18,(Datos!K18+Datos!AE18-(Datos!U18+Datos!AM18))/(Datos!U18+Datos!AM18))
     ),IF(D_I="SI",(Datos!K18-Datos!U18)/Datos!U18,(Datos!K18+Datos!AE18-(Datos!U18+Datos!AM18))/(Datos!U18+Datos!AM18))," - ")</f>
        <v>0.29637377963737799</v>
      </c>
      <c r="G18" s="395">
        <f>IF(ISNUMBER(
   IF(D_I="SI",(Datos!L18-Datos!V18)/Datos!V18,(Datos!L18+Datos!AF18-(Datos!V18+Datos!AN18))/(Datos!V18+Datos!AN18))
     ),IF(D_I="SI",(Datos!L18-Datos!V18)/Datos!V18,(Datos!L18+Datos!AF18-(Datos!V18+Datos!AN18))/(Datos!V18+Datos!AN18))," - ")</f>
        <v>-0.25551470588235292</v>
      </c>
      <c r="H18" s="244">
        <f>IF(ISNUMBER((Datos!M18-Datos!W18)/Datos!W18),(Datos!M18-Datos!W18)/Datos!W18," - ")</f>
        <v>0</v>
      </c>
      <c r="I18" s="396">
        <f>IF(ISNUMBER((Tasas!C18-Datos!BE18)/Datos!BE18),(Tasas!C18-Datos!BE18)/Datos!BE18," - ")</f>
        <v>-0.42571709964243898</v>
      </c>
      <c r="J18" s="395">
        <f>IF(ISNUMBER((Tasas!D18-Datos!BF18)/Datos!BF18),(Tasas!D18-Datos!BF18)/Datos!BF18," - ")</f>
        <v>-0.22861753630984402</v>
      </c>
      <c r="K18" s="397">
        <f>IF(ISNUMBER((Tasas!E18-Datos!BG18)/Datos!BG18),(Tasas!E18-Datos!BG18)/Datos!BG18," - ")</f>
        <v>-0.11730411749885938</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0.23897984886649873</v>
      </c>
      <c r="E23" s="400">
        <f>IF(ISNUMBER(
   IF(D_I="SI",(Datos!J23-Datos!T23)/Datos!T23,(Datos!J23+Datos!AD23-(Datos!T23+Datos!AL23))/(Datos!T23+Datos!AL23))
     ),IF(D_I="SI",(Datos!J23-Datos!T23)/Datos!T23,(Datos!J23+Datos!AD23-(Datos!T23+Datos!AL23))/(Datos!T23+Datos!AL23))," - ")</f>
        <v>0.10507101420284057</v>
      </c>
      <c r="F23" s="400">
        <f>IF(ISNUMBER(
   IF(D_I="SI",(Datos!K23-Datos!U23)/Datos!U23,(Datos!K23+Datos!AE23-(Datos!U23+Datos!AM23))/(Datos!U23+Datos!AM23))
     ),IF(D_I="SI",(Datos!K23-Datos!U23)/Datos!U23,(Datos!K23+Datos!AE23-(Datos!U23+Datos!AM23))/(Datos!U23+Datos!AM23))," - ")</f>
        <v>0.18197916666666666</v>
      </c>
      <c r="G23" s="401">
        <f>IF(ISNUMBER(
   IF(D_I="SI",(Datos!L23-Datos!V23)/Datos!V23,(Datos!L23+Datos!AF23-(Datos!V23+Datos!AN23))/(Datos!V23+Datos!AN23))
     ),IF(D_I="SI",(Datos!L23-Datos!V23)/Datos!V23,(Datos!L23+Datos!AF23-(Datos!V23+Datos!AN23))/(Datos!V23+Datos!AN23))," - ")</f>
        <v>-0.14917407878017788</v>
      </c>
      <c r="H23" s="402">
        <f>IF(ISNUMBER((Datos!M23-Datos!W23)/Datos!W23),(Datos!M23-Datos!W23)/Datos!W23," - ")</f>
        <v>0.195850622406639</v>
      </c>
      <c r="I23" s="403">
        <f>IF(ISNUMBER((Tasas!C23-Datos!BE23)/Datos!BE23),(Tasas!C23-Datos!BE23)/Datos!BE23," - ")</f>
        <v>-0.28016842833257316</v>
      </c>
      <c r="J23" s="401">
        <f>IF(ISNUMBER((Tasas!D23-Datos!BF23)/Datos!BF23),(Tasas!D23-Datos!BF23)/Datos!BF23," - ")</f>
        <v>1.1735787001298599E-2</v>
      </c>
      <c r="K23" s="404">
        <f>IF(ISNUMBER((Tasas!E23-Datos!BG23)/Datos!BG23),(Tasas!E23-Datos!BG23)/Datos!BG23," - ")</f>
        <v>-4.9539234916873114E-2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7.163700029180041E-2</v>
      </c>
      <c r="E31" s="410">
        <f>IF(ISNUMBER(
   IF(J_V="SI",(Datos!J31-Datos!T31)/Datos!T31,(Datos!J31+Datos!Z31-(Datos!T31+Datos!AH31))/(Datos!T31+Datos!AH31))
     ),IF(J_V="SI",(Datos!J31-Datos!T31)/Datos!T31,(Datos!J31+Datos!Z31-(Datos!T31+Datos!AH31))/(Datos!T31+Datos!AH31))," - ")</f>
        <v>0.19882715240466517</v>
      </c>
      <c r="F31" s="410">
        <f>IF(ISNUMBER(
   IF(J_V="SI",(Datos!K31-Datos!U31)/Datos!U31,(Datos!K31+Datos!AA31-(Datos!U31+Datos!AI31))/(Datos!U31+Datos!AI31))
     ),IF(J_V="SI",(Datos!K31-Datos!U31)/Datos!U31,(Datos!K31+Datos!AA31-(Datos!U31+Datos!AI31))/(Datos!U31+Datos!AI31))," - ")</f>
        <v>0.23616610823433851</v>
      </c>
      <c r="G31" s="411">
        <f>IF(ISNUMBER(
   IF(J_V="SI",(Datos!L31-Datos!V31)/Datos!V31,(Datos!L31+Datos!AB31-(Datos!V31+Datos!AJ31))/(Datos!V31+Datos!AJ31))
     ),IF(J_V="SI",(Datos!L31-Datos!V31)/Datos!V31,(Datos!L31+Datos!AB31-(Datos!V31+Datos!AJ31))/(Datos!V31+Datos!AJ31))," - ")</f>
        <v>8.168822328114363E-3</v>
      </c>
      <c r="H31" s="412">
        <f>IF(ISNUMBER((Datos!M31-Datos!W31)/Datos!W31),(Datos!M31-Datos!W31)/Datos!W31," - ")</f>
        <v>0.27976350443429188</v>
      </c>
      <c r="I31" s="409">
        <f>IF(ISNUMBER((Tasas!C31-Datos!BE31)/Datos!BE31),(Tasas!C31-Datos!BE31)/Datos!BE31," - ")</f>
        <v>-0.18443903645917054</v>
      </c>
      <c r="J31" s="410">
        <f>IF(ISNUMBER((Tasas!D31-Datos!BF31)/Datos!BF31),(Tasas!D31-Datos!BF31)/Datos!BF31," - ")</f>
        <v>-0.31975399953805123</v>
      </c>
      <c r="K31" s="411">
        <f>IF(ISNUMBER((Tasas!E31-Datos!BG31)/Datos!BG31),(Tasas!E31-Datos!BG31)/Datos!BG31," - ")</f>
        <v>-6.209248936817377E-2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0.28719687850937653</v>
      </c>
      <c r="E33" s="303">
        <f t="shared" si="1"/>
        <v>5.8476003574311798E-2</v>
      </c>
      <c r="F33" s="303">
        <f t="shared" si="1"/>
        <v>9.0058926720869958E-2</v>
      </c>
      <c r="G33" s="304">
        <f t="shared" si="1"/>
        <v>0.15823923675578</v>
      </c>
      <c r="H33" s="310">
        <f t="shared" si="1"/>
        <v>0.15924297332269594</v>
      </c>
      <c r="I33" s="302">
        <f t="shared" si="1"/>
        <v>0.15165808628561903</v>
      </c>
      <c r="J33" s="303">
        <f t="shared" si="1"/>
        <v>0.31612565645836505</v>
      </c>
      <c r="K33" s="304">
        <f t="shared" si="1"/>
        <v>5.1922844774449972E-2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QBOZt1njntkt6IRl0IX2/EyOx9KRPcfxpI90HhrrfnlaK7T66CkYe9Mg23LtRUgARkZ0qUzNGHhRdTfCF1vwQ==" saltValue="ksi7lArA18Fyr1JmLlOGA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